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A8" lockStructure="1"/>
  <bookViews>
    <workbookView xWindow="-15" yWindow="-15" windowWidth="21480" windowHeight="9915" firstSheet="2" activeTab="7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Market Planning Case)" sheetId="17" r:id="rId6"/>
    <sheet name="Calc (Market Slow Rate)" sheetId="18" r:id="rId7"/>
    <sheet name="Output" sheetId="2" r:id="rId8"/>
  </sheets>
  <externalReferences>
    <externalReference r:id="rId9"/>
    <externalReference r:id="rId10"/>
  </externalReferences>
  <definedNames>
    <definedName name="a">'[1]Input Global'!$G$15</definedName>
    <definedName name="Dist1">'Input Global'!$B$8</definedName>
    <definedName name="Dist1Frontier">'Input General'!$A$100:$H$102</definedName>
    <definedName name="dist1LRET">'Input General'!$A$112:$H$114</definedName>
    <definedName name="dist1Retail">'Input General'!$A$83:$H$92</definedName>
    <definedName name="dist1scheme1">'Input General'!$A$133:$H$135</definedName>
    <definedName name="dist1scheme2">'Input General'!$A$151:$H$153</definedName>
    <definedName name="dist1wholesale">'Input General'!$A$72:$H$74</definedName>
    <definedName name="Dist1X">'Input Global'!$H$41</definedName>
    <definedName name="Dist2">'Input Global'!$B$9</definedName>
    <definedName name="dist2frontier">'Input General'!#REF!</definedName>
    <definedName name="Dist2LRET">'Input General'!$A$117:$H$117</definedName>
    <definedName name="dist2Retail">'Input General'!#REF!</definedName>
    <definedName name="dist2scheme1">'Input General'!$A$138:$H$138</definedName>
    <definedName name="dist2scheme2">'Input General'!#REF!</definedName>
    <definedName name="dist2wholesale">'Input General'!#REF!</definedName>
    <definedName name="Dist2X">'Input Global'!$H$42</definedName>
    <definedName name="Dist3">'Input Global'!$B$10</definedName>
    <definedName name="dist3frontier">'Input General'!#REF!</definedName>
    <definedName name="Dist3LRET">'Input General'!$A$120:$H$120</definedName>
    <definedName name="dist3retail">'Input General'!#REF!</definedName>
    <definedName name="dist3scheme1">'Input General'!$A$141:$H$141</definedName>
    <definedName name="dist3scheme2">'Input General'!#REF!</definedName>
    <definedName name="dist3wholesale">'Input General'!#REF!</definedName>
    <definedName name="Dist3X">'Input Global'!$H$43</definedName>
    <definedName name="Dist4">'Input Global'!$B$11</definedName>
    <definedName name="Dist4frontier">'Input General'!#REF!</definedName>
    <definedName name="Dist4LRET">'Input General'!$A$123:$H$123</definedName>
    <definedName name="dist4retail">'Input General'!#REF!</definedName>
    <definedName name="dist4scheme1">'Input General'!$A$144:$H$144</definedName>
    <definedName name="dist4scheme2">'Input General'!#REF!</definedName>
    <definedName name="dist4wholesale">'Input General'!#REF!</definedName>
    <definedName name="Dist4X">'Input Global'!$H$44</definedName>
    <definedName name="Dist5">'Input Global'!$B$12</definedName>
    <definedName name="dist5frontier">'Input General'!#REF!</definedName>
    <definedName name="Dist5LRET">'Input General'!$A$126:$H$126</definedName>
    <definedName name="dist5retail">'Input General'!#REF!</definedName>
    <definedName name="dist5scheme1">'Input General'!$A$147:$H$147</definedName>
    <definedName name="dist5scheme2">'Input General'!#REF!</definedName>
    <definedName name="dist5wholesale">'Input General'!#REF!</definedName>
    <definedName name="Dist5X">'Input Global'!$H$45</definedName>
    <definedName name="inflation">'Input Global'!$G$15</definedName>
    <definedName name="margin">'[2]NSW Retail Input'!$C$3</definedName>
    <definedName name="_xlnm.Print_Area" localSheetId="4">'Calc (Jurisdiction)'!$A$1:$I$164</definedName>
    <definedName name="_xlnm.Print_Area" localSheetId="5">'Calc (Market Planning Case)'!$A$1:$I$164</definedName>
    <definedName name="_xlnm.Print_Area" localSheetId="6">'Calc (Market Slow Rate)'!$A$1:$I$164</definedName>
    <definedName name="_xlnm.Print_Area" localSheetId="0">Index!$A$1:$I$29</definedName>
    <definedName name="_xlnm.Print_Area" localSheetId="1">'Input Global'!$A$1:$I$65</definedName>
    <definedName name="_xlnm.Print_Area" localSheetId="7">Output!$A$1:$H$83</definedName>
    <definedName name="_xlnm.Print_Titles" localSheetId="4">'Calc (Jurisdiction)'!$1:$4</definedName>
    <definedName name="_xlnm.Print_Titles" localSheetId="5">'Calc (Market Planning Case)'!$1:$4</definedName>
    <definedName name="_xlnm.Print_Titles" localSheetId="6">'Calc (Market Slow Rate)'!$4:$4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7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A116" i="5" l="1"/>
  <c r="A119" i="5"/>
  <c r="A122" i="5"/>
  <c r="A125" i="5"/>
  <c r="A82" i="5"/>
  <c r="A137" i="5"/>
  <c r="A140" i="5"/>
  <c r="A143" i="5"/>
  <c r="A146" i="5"/>
  <c r="A131" i="5"/>
  <c r="A132" i="5"/>
  <c r="A149" i="5"/>
  <c r="A150" i="5"/>
  <c r="G200" i="5" l="1"/>
  <c r="E206" i="5"/>
  <c r="D206" i="5"/>
  <c r="E205" i="5"/>
  <c r="D205" i="5"/>
  <c r="F203" i="5"/>
  <c r="G192" i="5" l="1"/>
  <c r="H192" i="5" s="1"/>
  <c r="G179" i="5"/>
  <c r="H179" i="5" s="1"/>
  <c r="H41" i="4" l="1"/>
  <c r="H40" i="4"/>
  <c r="A99" i="1" l="1"/>
  <c r="D165" i="5" l="1"/>
  <c r="B1" i="6" l="1"/>
  <c r="H4" i="2" l="1"/>
  <c r="G4" i="2"/>
  <c r="F4" i="2"/>
  <c r="E4" i="2"/>
  <c r="H4" i="21"/>
  <c r="A61" i="4" l="1"/>
  <c r="A7" i="5" l="1"/>
  <c r="A45" i="5"/>
  <c r="A51" i="5"/>
  <c r="A41" i="5"/>
  <c r="A34" i="5"/>
  <c r="A99" i="5"/>
  <c r="H92" i="5"/>
  <c r="G92" i="5"/>
  <c r="F92" i="5"/>
  <c r="E92" i="5"/>
  <c r="D92" i="5"/>
  <c r="H91" i="5"/>
  <c r="G91" i="5"/>
  <c r="F91" i="5"/>
  <c r="E91" i="5"/>
  <c r="D91" i="5"/>
  <c r="H90" i="5"/>
  <c r="G90" i="5"/>
  <c r="F90" i="5"/>
  <c r="E90" i="5"/>
  <c r="D90" i="5"/>
  <c r="H89" i="5"/>
  <c r="G89" i="5"/>
  <c r="F89" i="5"/>
  <c r="E89" i="5"/>
  <c r="D89" i="5"/>
  <c r="H88" i="5"/>
  <c r="G88" i="5"/>
  <c r="E88" i="5"/>
  <c r="D88" i="5"/>
  <c r="H87" i="5"/>
  <c r="G87" i="5"/>
  <c r="F87" i="5"/>
  <c r="E87" i="5"/>
  <c r="D87" i="5"/>
  <c r="H86" i="5"/>
  <c r="G86" i="5"/>
  <c r="F86" i="5"/>
  <c r="E86" i="5"/>
  <c r="D86" i="5"/>
  <c r="H85" i="5"/>
  <c r="G85" i="5"/>
  <c r="F85" i="5"/>
  <c r="E85" i="5"/>
  <c r="D85" i="5"/>
  <c r="E84" i="5"/>
  <c r="F84" i="5"/>
  <c r="D84" i="5"/>
  <c r="G4" i="21" l="1"/>
  <c r="F4" i="21"/>
  <c r="E4" i="21"/>
  <c r="D4" i="21"/>
  <c r="E42" i="5" l="1"/>
  <c r="D42" i="5"/>
  <c r="E68" i="5"/>
  <c r="D68" i="5"/>
  <c r="E67" i="5"/>
  <c r="D67" i="5"/>
  <c r="E66" i="5"/>
  <c r="D66" i="5"/>
  <c r="A129" i="5"/>
  <c r="A111" i="5"/>
  <c r="A105" i="5"/>
  <c r="A92" i="5"/>
  <c r="A91" i="5"/>
  <c r="F42" i="5"/>
  <c r="A83" i="5"/>
  <c r="A208" i="5"/>
  <c r="A207" i="5"/>
  <c r="A199" i="5"/>
  <c r="H200" i="5" l="1"/>
  <c r="G84" i="5"/>
  <c r="G42" i="5" s="1"/>
  <c r="H84" i="5" l="1"/>
  <c r="H42" i="5" s="1"/>
  <c r="A52" i="21"/>
  <c r="A27" i="21" s="1"/>
  <c r="A45" i="21"/>
  <c r="A40" i="21"/>
  <c r="A17" i="21" s="1"/>
  <c r="A35" i="21"/>
  <c r="A11" i="21" s="1"/>
  <c r="A26" i="21"/>
  <c r="A22" i="21"/>
  <c r="A21" i="21"/>
  <c r="A15" i="21"/>
  <c r="A9" i="21"/>
  <c r="A8" i="21"/>
  <c r="B2" i="21"/>
  <c r="A15" i="1" l="1"/>
  <c r="A64" i="5"/>
  <c r="G19" i="21"/>
  <c r="H18" i="21"/>
  <c r="F18" i="21"/>
  <c r="H19" i="21"/>
  <c r="F19" i="21"/>
  <c r="G18" i="21"/>
  <c r="H9" i="21"/>
  <c r="F9" i="21"/>
  <c r="G9" i="21"/>
  <c r="H8" i="21"/>
  <c r="F8" i="21"/>
  <c r="G8" i="21"/>
  <c r="H27" i="21"/>
  <c r="F27" i="21"/>
  <c r="G27" i="21"/>
  <c r="G97" i="5" l="1"/>
  <c r="H97" i="5"/>
  <c r="F13" i="21"/>
  <c r="H12" i="21"/>
  <c r="G12" i="21"/>
  <c r="H13" i="21"/>
  <c r="F12" i="21"/>
  <c r="G13" i="21"/>
  <c r="G129" i="5"/>
  <c r="H129" i="5" s="1"/>
  <c r="G49" i="21"/>
  <c r="G24" i="21" s="1"/>
  <c r="G48" i="21"/>
  <c r="G23" i="21" s="1"/>
  <c r="F49" i="21"/>
  <c r="F24" i="21" s="1"/>
  <c r="F48" i="21"/>
  <c r="F23" i="21" s="1"/>
  <c r="H49" i="21"/>
  <c r="H24" i="21" s="1"/>
  <c r="H48" i="21"/>
  <c r="H23" i="21" s="1"/>
  <c r="G114" i="5" l="1"/>
  <c r="H114" i="5" s="1"/>
  <c r="G101" i="5"/>
  <c r="F88" i="5"/>
  <c r="G113" i="5"/>
  <c r="G102" i="5"/>
  <c r="H102" i="5" s="1"/>
  <c r="G107" i="5" l="1"/>
  <c r="H107" i="5" s="1"/>
  <c r="G108" i="5"/>
  <c r="G68" i="5" s="1"/>
  <c r="F66" i="5"/>
  <c r="H101" i="5"/>
  <c r="F68" i="5"/>
  <c r="F67" i="5"/>
  <c r="G66" i="5"/>
  <c r="H113" i="5"/>
  <c r="G67" i="5" l="1"/>
  <c r="H108" i="5"/>
  <c r="H68" i="5" s="1"/>
  <c r="H67" i="5"/>
  <c r="H66" i="5"/>
  <c r="H4" i="17" l="1"/>
  <c r="G4" i="17"/>
  <c r="F4" i="17"/>
  <c r="E4" i="17"/>
  <c r="D4" i="17"/>
  <c r="H4" i="18"/>
  <c r="G4" i="18"/>
  <c r="F4" i="18"/>
  <c r="E4" i="18"/>
  <c r="D4" i="18"/>
  <c r="H4" i="1"/>
  <c r="G4" i="1"/>
  <c r="F4" i="1"/>
  <c r="E4" i="1"/>
  <c r="D4" i="1"/>
  <c r="D164" i="5" l="1"/>
  <c r="A47" i="4"/>
  <c r="D27" i="5" l="1"/>
  <c r="A29" i="6" l="1"/>
  <c r="D4" i="5"/>
  <c r="A18" i="2" l="1"/>
  <c r="A17" i="2"/>
  <c r="A16" i="2"/>
  <c r="A15" i="2"/>
  <c r="A14" i="2"/>
  <c r="A13" i="2"/>
  <c r="A12" i="2"/>
  <c r="A11" i="2"/>
  <c r="A10" i="2"/>
  <c r="A9" i="2"/>
  <c r="A41" i="2" l="1"/>
  <c r="A42" i="2"/>
  <c r="A44" i="2"/>
  <c r="A47" i="2"/>
  <c r="A50" i="2"/>
  <c r="A45" i="2"/>
  <c r="A43" i="2"/>
  <c r="A46" i="2"/>
  <c r="A49" i="2"/>
  <c r="A53" i="2"/>
  <c r="A48" i="2"/>
  <c r="B2" i="5"/>
  <c r="A198" i="5" s="1"/>
  <c r="B2" i="2" l="1"/>
  <c r="B2" i="1"/>
  <c r="A47" i="5" l="1"/>
  <c r="A53" i="5" s="1"/>
  <c r="A59" i="5" s="1"/>
  <c r="A117" i="5"/>
  <c r="A120" i="5"/>
  <c r="A123" i="5"/>
  <c r="A126" i="5"/>
  <c r="A112" i="5"/>
  <c r="A133" i="5" s="1"/>
  <c r="A151" i="5" s="1"/>
  <c r="A100" i="5"/>
  <c r="A106" i="5"/>
  <c r="A8" i="2"/>
  <c r="B2" i="4"/>
  <c r="H4" i="5"/>
  <c r="G4" i="5"/>
  <c r="F4" i="5"/>
  <c r="E4" i="5"/>
  <c r="A138" i="5" l="1"/>
  <c r="A141" i="5" s="1"/>
  <c r="A144" i="5" s="1"/>
  <c r="A147" i="5" s="1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8" i="1"/>
  <c r="A7" i="1"/>
  <c r="A156" i="5"/>
  <c r="A34" i="1" l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65" i="5" l="1"/>
  <c r="A52" i="2" l="1"/>
  <c r="A51" i="2"/>
  <c r="A144" i="18" l="1"/>
  <c r="A129" i="18"/>
  <c r="A114" i="18"/>
  <c r="A99" i="18"/>
  <c r="A84" i="18"/>
  <c r="A67" i="18"/>
  <c r="A52" i="18"/>
  <c r="A37" i="18"/>
  <c r="A22" i="18"/>
  <c r="A19" i="18"/>
  <c r="A34" i="18" s="1"/>
  <c r="A49" i="18" s="1"/>
  <c r="A64" i="18" s="1"/>
  <c r="A79" i="18" s="1"/>
  <c r="A96" i="18" s="1"/>
  <c r="A111" i="18" s="1"/>
  <c r="A126" i="18" s="1"/>
  <c r="A141" i="18" s="1"/>
  <c r="A156" i="18" s="1"/>
  <c r="A17" i="18"/>
  <c r="A32" i="18" s="1"/>
  <c r="A47" i="18" s="1"/>
  <c r="A62" i="18" s="1"/>
  <c r="A77" i="18" s="1"/>
  <c r="A94" i="18" s="1"/>
  <c r="A109" i="18" s="1"/>
  <c r="A124" i="18" s="1"/>
  <c r="A139" i="18" s="1"/>
  <c r="A154" i="18" s="1"/>
  <c r="A16" i="18"/>
  <c r="A31" i="18" s="1"/>
  <c r="A46" i="18" s="1"/>
  <c r="A61" i="18" s="1"/>
  <c r="A76" i="18" s="1"/>
  <c r="A93" i="18" s="1"/>
  <c r="A108" i="18" s="1"/>
  <c r="A123" i="18" s="1"/>
  <c r="A138" i="18" s="1"/>
  <c r="A153" i="18" s="1"/>
  <c r="A15" i="18"/>
  <c r="A30" i="18" s="1"/>
  <c r="A45" i="18" s="1"/>
  <c r="A60" i="18" s="1"/>
  <c r="A75" i="18" s="1"/>
  <c r="A92" i="18" s="1"/>
  <c r="A107" i="18" s="1"/>
  <c r="A122" i="18" s="1"/>
  <c r="A137" i="18" s="1"/>
  <c r="A152" i="18" s="1"/>
  <c r="A14" i="18"/>
  <c r="A29" i="18" s="1"/>
  <c r="A44" i="18" s="1"/>
  <c r="A59" i="18" s="1"/>
  <c r="A74" i="18" s="1"/>
  <c r="A91" i="18" s="1"/>
  <c r="A106" i="18" s="1"/>
  <c r="A121" i="18" s="1"/>
  <c r="A136" i="18" s="1"/>
  <c r="A151" i="18" s="1"/>
  <c r="A13" i="18"/>
  <c r="A28" i="18" s="1"/>
  <c r="A43" i="18" s="1"/>
  <c r="A58" i="18" s="1"/>
  <c r="A73" i="18" s="1"/>
  <c r="A90" i="18" s="1"/>
  <c r="A105" i="18" s="1"/>
  <c r="A120" i="18" s="1"/>
  <c r="A135" i="18" s="1"/>
  <c r="A150" i="18" s="1"/>
  <c r="A12" i="18"/>
  <c r="A27" i="18" s="1"/>
  <c r="A42" i="18" s="1"/>
  <c r="A57" i="18" s="1"/>
  <c r="A72" i="18" s="1"/>
  <c r="A89" i="18" s="1"/>
  <c r="A104" i="18" s="1"/>
  <c r="A119" i="18" s="1"/>
  <c r="A134" i="18" s="1"/>
  <c r="A149" i="18" s="1"/>
  <c r="A11" i="18"/>
  <c r="A26" i="18" s="1"/>
  <c r="A41" i="18" s="1"/>
  <c r="A56" i="18" s="1"/>
  <c r="A71" i="18" s="1"/>
  <c r="A88" i="18" s="1"/>
  <c r="A103" i="18" s="1"/>
  <c r="A118" i="18" s="1"/>
  <c r="A133" i="18" s="1"/>
  <c r="A148" i="18" s="1"/>
  <c r="A10" i="18"/>
  <c r="A25" i="18" s="1"/>
  <c r="A40" i="18" s="1"/>
  <c r="A55" i="18" s="1"/>
  <c r="A70" i="18" s="1"/>
  <c r="A87" i="18" s="1"/>
  <c r="A102" i="18" s="1"/>
  <c r="A117" i="18" s="1"/>
  <c r="A132" i="18" s="1"/>
  <c r="A147" i="18" s="1"/>
  <c r="A9" i="18"/>
  <c r="A24" i="18" s="1"/>
  <c r="A39" i="18" s="1"/>
  <c r="A54" i="18" s="1"/>
  <c r="A69" i="18" s="1"/>
  <c r="A86" i="18" s="1"/>
  <c r="A101" i="18" s="1"/>
  <c r="A116" i="18" s="1"/>
  <c r="A131" i="18" s="1"/>
  <c r="A146" i="18" s="1"/>
  <c r="A8" i="18"/>
  <c r="A23" i="18" s="1"/>
  <c r="A38" i="18" s="1"/>
  <c r="A53" i="18" s="1"/>
  <c r="A68" i="18" s="1"/>
  <c r="A85" i="18" s="1"/>
  <c r="A100" i="18" s="1"/>
  <c r="A115" i="18" s="1"/>
  <c r="A130" i="18" s="1"/>
  <c r="A145" i="18" s="1"/>
  <c r="A7" i="18"/>
  <c r="A144" i="17"/>
  <c r="A129" i="17"/>
  <c r="A114" i="17"/>
  <c r="A99" i="17"/>
  <c r="A84" i="17"/>
  <c r="A67" i="17"/>
  <c r="A52" i="17"/>
  <c r="A37" i="17"/>
  <c r="A22" i="17"/>
  <c r="A19" i="17"/>
  <c r="A34" i="17" s="1"/>
  <c r="A49" i="17" s="1"/>
  <c r="A64" i="17" s="1"/>
  <c r="A79" i="17" s="1"/>
  <c r="A96" i="17" s="1"/>
  <c r="A111" i="17" s="1"/>
  <c r="A126" i="17" s="1"/>
  <c r="A141" i="17" s="1"/>
  <c r="A156" i="17" s="1"/>
  <c r="A17" i="17"/>
  <c r="A32" i="17" s="1"/>
  <c r="A47" i="17" s="1"/>
  <c r="A62" i="17" s="1"/>
  <c r="A77" i="17" s="1"/>
  <c r="A94" i="17" s="1"/>
  <c r="A109" i="17" s="1"/>
  <c r="A124" i="17" s="1"/>
  <c r="A139" i="17" s="1"/>
  <c r="A154" i="17" s="1"/>
  <c r="A16" i="17"/>
  <c r="A31" i="17" s="1"/>
  <c r="A46" i="17" s="1"/>
  <c r="A61" i="17" s="1"/>
  <c r="A76" i="17" s="1"/>
  <c r="A93" i="17" s="1"/>
  <c r="A108" i="17" s="1"/>
  <c r="A123" i="17" s="1"/>
  <c r="A138" i="17" s="1"/>
  <c r="A153" i="17" s="1"/>
  <c r="A15" i="17"/>
  <c r="A30" i="17" s="1"/>
  <c r="A45" i="17" s="1"/>
  <c r="A60" i="17" s="1"/>
  <c r="A75" i="17" s="1"/>
  <c r="A92" i="17" s="1"/>
  <c r="A107" i="17" s="1"/>
  <c r="A122" i="17" s="1"/>
  <c r="A137" i="17" s="1"/>
  <c r="A152" i="17" s="1"/>
  <c r="A14" i="17"/>
  <c r="A29" i="17" s="1"/>
  <c r="A44" i="17" s="1"/>
  <c r="A59" i="17" s="1"/>
  <c r="A74" i="17" s="1"/>
  <c r="A91" i="17" s="1"/>
  <c r="A106" i="17" s="1"/>
  <c r="A121" i="17" s="1"/>
  <c r="A136" i="17" s="1"/>
  <c r="A151" i="17" s="1"/>
  <c r="A13" i="17"/>
  <c r="A28" i="17" s="1"/>
  <c r="A43" i="17" s="1"/>
  <c r="A58" i="17" s="1"/>
  <c r="A73" i="17" s="1"/>
  <c r="A90" i="17" s="1"/>
  <c r="A105" i="17" s="1"/>
  <c r="A120" i="17" s="1"/>
  <c r="A135" i="17" s="1"/>
  <c r="A150" i="17" s="1"/>
  <c r="A12" i="17"/>
  <c r="A27" i="17" s="1"/>
  <c r="A42" i="17" s="1"/>
  <c r="A57" i="17" s="1"/>
  <c r="A72" i="17" s="1"/>
  <c r="A89" i="17" s="1"/>
  <c r="A104" i="17" s="1"/>
  <c r="A119" i="17" s="1"/>
  <c r="A134" i="17" s="1"/>
  <c r="A149" i="17" s="1"/>
  <c r="A11" i="17"/>
  <c r="A26" i="17" s="1"/>
  <c r="A41" i="17" s="1"/>
  <c r="A56" i="17" s="1"/>
  <c r="A71" i="17" s="1"/>
  <c r="A88" i="17" s="1"/>
  <c r="A103" i="17" s="1"/>
  <c r="A118" i="17" s="1"/>
  <c r="A133" i="17" s="1"/>
  <c r="A148" i="17" s="1"/>
  <c r="A10" i="17"/>
  <c r="A25" i="17" s="1"/>
  <c r="A40" i="17" s="1"/>
  <c r="A55" i="17" s="1"/>
  <c r="A70" i="17" s="1"/>
  <c r="A87" i="17" s="1"/>
  <c r="A102" i="17" s="1"/>
  <c r="A117" i="17" s="1"/>
  <c r="A132" i="17" s="1"/>
  <c r="A147" i="17" s="1"/>
  <c r="A9" i="17"/>
  <c r="A24" i="17" s="1"/>
  <c r="A39" i="17" s="1"/>
  <c r="A54" i="17" s="1"/>
  <c r="A69" i="17" s="1"/>
  <c r="A86" i="17" s="1"/>
  <c r="A101" i="17" s="1"/>
  <c r="A116" i="17" s="1"/>
  <c r="A131" i="17" s="1"/>
  <c r="A146" i="17" s="1"/>
  <c r="A8" i="17"/>
  <c r="A23" i="17" s="1"/>
  <c r="A38" i="17" s="1"/>
  <c r="A53" i="17" s="1"/>
  <c r="A68" i="17" s="1"/>
  <c r="A85" i="17" s="1"/>
  <c r="A100" i="17" s="1"/>
  <c r="A115" i="17" s="1"/>
  <c r="A130" i="17" s="1"/>
  <c r="A145" i="17" s="1"/>
  <c r="A7" i="17"/>
  <c r="B1" i="4" l="1"/>
  <c r="D31" i="5"/>
  <c r="D23" i="5"/>
  <c r="D196" i="5"/>
  <c r="B1" i="21" l="1"/>
  <c r="B1" i="5"/>
  <c r="B1" i="1"/>
  <c r="B1" i="2"/>
  <c r="D16" i="5"/>
  <c r="A23" i="5"/>
  <c r="A178" i="5" l="1"/>
  <c r="D20" i="5" l="1"/>
  <c r="D12" i="5"/>
  <c r="D36" i="5" l="1"/>
  <c r="D38" i="5"/>
  <c r="D37" i="5"/>
  <c r="D35" i="5"/>
  <c r="A58" i="5" l="1"/>
  <c r="A52" i="5"/>
  <c r="A46" i="5"/>
  <c r="A27" i="4" l="1"/>
  <c r="A26" i="4"/>
  <c r="A22" i="4"/>
  <c r="A21" i="4"/>
  <c r="A20" i="4"/>
  <c r="A19" i="4"/>
  <c r="A71" i="5" l="1"/>
  <c r="D29" i="5" l="1"/>
  <c r="D18" i="5" s="1"/>
  <c r="D30" i="5"/>
  <c r="D28" i="5"/>
  <c r="D19" i="5"/>
  <c r="D17" i="5" l="1"/>
  <c r="D10" i="5"/>
  <c r="D11" i="5"/>
  <c r="D9" i="5"/>
  <c r="D8" i="5"/>
  <c r="A191" i="5" l="1"/>
  <c r="A168" i="5"/>
  <c r="A157" i="5"/>
  <c r="A37" i="4"/>
  <c r="A36" i="4"/>
  <c r="A35" i="4"/>
  <c r="A34" i="4"/>
  <c r="A33" i="4"/>
  <c r="A77" i="5" l="1"/>
  <c r="A164" i="18" l="1"/>
  <c r="A163" i="18"/>
  <c r="A162" i="18"/>
  <c r="A161" i="18"/>
  <c r="A160" i="18"/>
  <c r="B2" i="18"/>
  <c r="A164" i="17"/>
  <c r="A163" i="17"/>
  <c r="A162" i="17"/>
  <c r="A161" i="17"/>
  <c r="A160" i="17"/>
  <c r="B2" i="17"/>
  <c r="A49" i="5" l="1"/>
  <c r="A55" i="5" s="1"/>
  <c r="A61" i="5" s="1"/>
  <c r="A48" i="5"/>
  <c r="A54" i="5" s="1"/>
  <c r="A60" i="5" s="1"/>
  <c r="A47" i="21"/>
  <c r="A46" i="21"/>
  <c r="A102" i="5"/>
  <c r="A114" i="5"/>
  <c r="A135" i="5" s="1"/>
  <c r="A153" i="5" s="1"/>
  <c r="A113" i="5"/>
  <c r="A134" i="5" s="1"/>
  <c r="A107" i="5"/>
  <c r="A108" i="5"/>
  <c r="A49" i="21"/>
  <c r="A24" i="21" s="1"/>
  <c r="A48" i="21"/>
  <c r="A23" i="21" s="1"/>
  <c r="A41" i="21"/>
  <c r="A18" i="21" s="1"/>
  <c r="A42" i="21"/>
  <c r="A19" i="21" s="1"/>
  <c r="A37" i="21"/>
  <c r="A13" i="21" s="1"/>
  <c r="A101" i="5"/>
  <c r="A36" i="21"/>
  <c r="A12" i="21" s="1"/>
  <c r="A25" i="2"/>
  <c r="A40" i="2"/>
  <c r="A67" i="5"/>
  <c r="A68" i="5"/>
  <c r="A73" i="5"/>
  <c r="A74" i="5"/>
  <c r="A79" i="5"/>
  <c r="A80" i="5"/>
  <c r="D48" i="5" l="1"/>
  <c r="D18" i="17" s="1"/>
  <c r="A152" i="5"/>
  <c r="H48" i="5"/>
  <c r="H18" i="17" s="1"/>
  <c r="F48" i="5"/>
  <c r="F18" i="17" s="1"/>
  <c r="F49" i="5"/>
  <c r="F18" i="18" s="1"/>
  <c r="H49" i="5"/>
  <c r="H18" i="18" s="1"/>
  <c r="E49" i="5"/>
  <c r="E18" i="18" s="1"/>
  <c r="E48" i="5"/>
  <c r="E18" i="17" s="1"/>
  <c r="G48" i="5"/>
  <c r="G18" i="17" s="1"/>
  <c r="G49" i="5"/>
  <c r="G18" i="18" s="1"/>
  <c r="D49" i="5"/>
  <c r="D18" i="18" s="1"/>
  <c r="H79" i="5"/>
  <c r="H80" i="5"/>
  <c r="F80" i="5"/>
  <c r="G80" i="5"/>
  <c r="D80" i="5"/>
  <c r="E80" i="5"/>
  <c r="F79" i="5"/>
  <c r="G79" i="5"/>
  <c r="D79" i="5"/>
  <c r="E79" i="5"/>
  <c r="G74" i="5"/>
  <c r="F74" i="5"/>
  <c r="H74" i="5"/>
  <c r="F73" i="5"/>
  <c r="H73" i="5"/>
  <c r="G73" i="5"/>
  <c r="D74" i="5"/>
  <c r="E74" i="5"/>
  <c r="D73" i="5"/>
  <c r="E73" i="5"/>
  <c r="B2" i="6"/>
  <c r="E55" i="5" l="1"/>
  <c r="E19" i="18" s="1"/>
  <c r="D55" i="5"/>
  <c r="D19" i="18" s="1"/>
  <c r="H55" i="5"/>
  <c r="H19" i="18" s="1"/>
  <c r="G54" i="5"/>
  <c r="G19" i="17" s="1"/>
  <c r="F54" i="5"/>
  <c r="F19" i="17" s="1"/>
  <c r="G55" i="5"/>
  <c r="G19" i="18" s="1"/>
  <c r="F55" i="5"/>
  <c r="F19" i="18" s="1"/>
  <c r="E54" i="5"/>
  <c r="E19" i="17" s="1"/>
  <c r="D54" i="5"/>
  <c r="D19" i="17" s="1"/>
  <c r="H54" i="5"/>
  <c r="H19" i="17" s="1"/>
  <c r="A66" i="5"/>
  <c r="A72" i="5"/>
  <c r="F72" i="5" s="1"/>
  <c r="A78" i="5"/>
  <c r="H78" i="5" s="1"/>
  <c r="A45" i="4"/>
  <c r="A44" i="4"/>
  <c r="A43" i="4"/>
  <c r="A42" i="4"/>
  <c r="A41" i="4"/>
  <c r="F78" i="5" l="1"/>
  <c r="G78" i="5"/>
  <c r="D78" i="5"/>
  <c r="E78" i="5"/>
  <c r="H53" i="5"/>
  <c r="F53" i="5"/>
  <c r="D53" i="5"/>
  <c r="G53" i="5"/>
  <c r="E53" i="5"/>
  <c r="E72" i="5"/>
  <c r="G72" i="5"/>
  <c r="H72" i="5"/>
  <c r="D72" i="5"/>
  <c r="G47" i="5"/>
  <c r="E47" i="5"/>
  <c r="H47" i="5"/>
  <c r="F47" i="5"/>
  <c r="D47" i="5"/>
  <c r="A18" i="18"/>
  <c r="A33" i="18" s="1"/>
  <c r="A48" i="18" s="1"/>
  <c r="A63" i="18" s="1"/>
  <c r="A78" i="18" s="1"/>
  <c r="A95" i="18" s="1"/>
  <c r="A110" i="18" s="1"/>
  <c r="A125" i="18" s="1"/>
  <c r="A140" i="18" s="1"/>
  <c r="A155" i="18" s="1"/>
  <c r="A18" i="17"/>
  <c r="A33" i="17" s="1"/>
  <c r="A48" i="17" s="1"/>
  <c r="A63" i="17" s="1"/>
  <c r="A78" i="17" s="1"/>
  <c r="A95" i="17" s="1"/>
  <c r="A110" i="17" s="1"/>
  <c r="A125" i="17" s="1"/>
  <c r="A140" i="17" s="1"/>
  <c r="A155" i="17" s="1"/>
  <c r="A183" i="5"/>
  <c r="A15" i="5" l="1"/>
  <c r="A18" i="4"/>
  <c r="A25" i="4"/>
  <c r="A28" i="4"/>
  <c r="A29" i="4"/>
  <c r="A26" i="5"/>
  <c r="E43" i="5" l="1"/>
  <c r="D43" i="5"/>
  <c r="F43" i="5"/>
  <c r="G43" i="5"/>
  <c r="H43" i="5"/>
  <c r="B1" i="17"/>
  <c r="B1" i="18"/>
  <c r="A59" i="2" l="1"/>
  <c r="A77" i="2"/>
  <c r="A58" i="2"/>
  <c r="A69" i="2"/>
  <c r="A57" i="2"/>
  <c r="A61" i="2"/>
  <c r="D30" i="4" l="1"/>
  <c r="D160" i="17" l="1"/>
  <c r="D162" i="1"/>
  <c r="D162" i="18"/>
  <c r="D161" i="17"/>
  <c r="D163" i="1"/>
  <c r="D163" i="18"/>
  <c r="D164" i="17"/>
  <c r="D160" i="1"/>
  <c r="D160" i="18"/>
  <c r="D162" i="17"/>
  <c r="D161" i="1"/>
  <c r="D161" i="18"/>
  <c r="D163" i="17"/>
  <c r="D164" i="1"/>
  <c r="D164" i="18"/>
  <c r="F30" i="4"/>
  <c r="F160" i="17" s="1"/>
  <c r="H30" i="4"/>
  <c r="E30" i="4"/>
  <c r="G30" i="4"/>
  <c r="E11" i="17" l="1"/>
  <c r="E88" i="17" s="1"/>
  <c r="E11" i="18"/>
  <c r="E88" i="18" s="1"/>
  <c r="E11" i="1"/>
  <c r="E88" i="1" s="1"/>
  <c r="E15" i="18"/>
  <c r="E92" i="18" s="1"/>
  <c r="E15" i="17"/>
  <c r="E92" i="17" s="1"/>
  <c r="E15" i="1"/>
  <c r="E92" i="1" s="1"/>
  <c r="E16" i="17"/>
  <c r="E93" i="17" s="1"/>
  <c r="E16" i="18"/>
  <c r="E93" i="18" s="1"/>
  <c r="E16" i="1"/>
  <c r="E93" i="1" s="1"/>
  <c r="E18" i="1"/>
  <c r="E95" i="1" s="1"/>
  <c r="E95" i="17"/>
  <c r="E95" i="18"/>
  <c r="E17" i="18"/>
  <c r="E94" i="18" s="1"/>
  <c r="E17" i="1"/>
  <c r="E94" i="1" s="1"/>
  <c r="E17" i="17"/>
  <c r="E94" i="17" s="1"/>
  <c r="E96" i="17"/>
  <c r="E96" i="18"/>
  <c r="E19" i="1"/>
  <c r="E96" i="1" s="1"/>
  <c r="E8" i="18"/>
  <c r="E8" i="1"/>
  <c r="E85" i="1" s="1"/>
  <c r="E8" i="17"/>
  <c r="G11" i="17"/>
  <c r="G88" i="17" s="1"/>
  <c r="G11" i="18"/>
  <c r="G88" i="18" s="1"/>
  <c r="G11" i="1"/>
  <c r="G88" i="1" s="1"/>
  <c r="G17" i="18"/>
  <c r="G94" i="18" s="1"/>
  <c r="G17" i="1"/>
  <c r="G94" i="1" s="1"/>
  <c r="G17" i="17"/>
  <c r="G94" i="17" s="1"/>
  <c r="G96" i="18"/>
  <c r="G19" i="1"/>
  <c r="G96" i="1" s="1"/>
  <c r="G96" i="17"/>
  <c r="G95" i="18"/>
  <c r="G15" i="18"/>
  <c r="G92" i="18" s="1"/>
  <c r="G16" i="17"/>
  <c r="G93" i="17" s="1"/>
  <c r="G15" i="17"/>
  <c r="G92" i="17" s="1"/>
  <c r="G15" i="1"/>
  <c r="G92" i="1" s="1"/>
  <c r="G95" i="17"/>
  <c r="G16" i="18"/>
  <c r="G93" i="18" s="1"/>
  <c r="G16" i="1"/>
  <c r="G93" i="1" s="1"/>
  <c r="G18" i="1"/>
  <c r="G95" i="1" s="1"/>
  <c r="G8" i="18"/>
  <c r="G8" i="1"/>
  <c r="G85" i="1" s="1"/>
  <c r="G8" i="17"/>
  <c r="H11" i="17"/>
  <c r="H88" i="17" s="1"/>
  <c r="H11" i="18"/>
  <c r="H88" i="18" s="1"/>
  <c r="H11" i="1"/>
  <c r="H88" i="1" s="1"/>
  <c r="H17" i="1"/>
  <c r="H94" i="1" s="1"/>
  <c r="H17" i="17"/>
  <c r="H94" i="17" s="1"/>
  <c r="H17" i="18"/>
  <c r="H94" i="18" s="1"/>
  <c r="H96" i="17"/>
  <c r="H19" i="1"/>
  <c r="H96" i="1" s="1"/>
  <c r="H96" i="18"/>
  <c r="H15" i="18"/>
  <c r="H92" i="18" s="1"/>
  <c r="H95" i="18"/>
  <c r="H15" i="17"/>
  <c r="H92" i="17" s="1"/>
  <c r="H18" i="1"/>
  <c r="H95" i="1" s="1"/>
  <c r="H16" i="18"/>
  <c r="H93" i="18" s="1"/>
  <c r="H15" i="1"/>
  <c r="H92" i="1" s="1"/>
  <c r="H95" i="17"/>
  <c r="H16" i="17"/>
  <c r="H93" i="17" s="1"/>
  <c r="H16" i="1"/>
  <c r="H93" i="1" s="1"/>
  <c r="H8" i="18"/>
  <c r="H8" i="17"/>
  <c r="H8" i="1"/>
  <c r="H85" i="1" s="1"/>
  <c r="G164" i="17"/>
  <c r="G163" i="17"/>
  <c r="G162" i="17"/>
  <c r="G161" i="17"/>
  <c r="G164" i="18"/>
  <c r="G164" i="1"/>
  <c r="G163" i="18"/>
  <c r="G163" i="1"/>
  <c r="G162" i="18"/>
  <c r="G162" i="1"/>
  <c r="G161" i="18"/>
  <c r="G161" i="1"/>
  <c r="H164" i="17"/>
  <c r="H163" i="17"/>
  <c r="H162" i="17"/>
  <c r="H161" i="17"/>
  <c r="H164" i="18"/>
  <c r="H164" i="1"/>
  <c r="H163" i="18"/>
  <c r="H163" i="1"/>
  <c r="H162" i="18"/>
  <c r="H162" i="1"/>
  <c r="H161" i="18"/>
  <c r="H161" i="1"/>
  <c r="E160" i="1"/>
  <c r="E160" i="18"/>
  <c r="H160" i="17"/>
  <c r="G160" i="1"/>
  <c r="G160" i="18"/>
  <c r="F11" i="17"/>
  <c r="F88" i="17" s="1"/>
  <c r="F11" i="18"/>
  <c r="F88" i="18" s="1"/>
  <c r="F11" i="1"/>
  <c r="F88" i="1" s="1"/>
  <c r="F96" i="18"/>
  <c r="F96" i="17"/>
  <c r="F19" i="1"/>
  <c r="F96" i="1" s="1"/>
  <c r="F17" i="18"/>
  <c r="F94" i="18" s="1"/>
  <c r="F95" i="18"/>
  <c r="F17" i="1"/>
  <c r="F94" i="1" s="1"/>
  <c r="F17" i="17"/>
  <c r="F94" i="17" s="1"/>
  <c r="F18" i="1"/>
  <c r="F95" i="1" s="1"/>
  <c r="F16" i="17"/>
  <c r="F93" i="17" s="1"/>
  <c r="F15" i="17"/>
  <c r="F92" i="17" s="1"/>
  <c r="F95" i="17"/>
  <c r="F16" i="1"/>
  <c r="F93" i="1" s="1"/>
  <c r="F8" i="1"/>
  <c r="F85" i="1" s="1"/>
  <c r="F15" i="1"/>
  <c r="F92" i="1" s="1"/>
  <c r="F16" i="18"/>
  <c r="F93" i="18" s="1"/>
  <c r="F8" i="17"/>
  <c r="F15" i="18"/>
  <c r="F92" i="18" s="1"/>
  <c r="F8" i="18"/>
  <c r="D14" i="17"/>
  <c r="D91" i="17" s="1"/>
  <c r="D14" i="18"/>
  <c r="D91" i="18" s="1"/>
  <c r="D11" i="17"/>
  <c r="D88" i="17" s="1"/>
  <c r="D10" i="17"/>
  <c r="D87" i="17" s="1"/>
  <c r="D9" i="17"/>
  <c r="D86" i="17" s="1"/>
  <c r="D11" i="18"/>
  <c r="D88" i="18" s="1"/>
  <c r="D10" i="18"/>
  <c r="D87" i="18" s="1"/>
  <c r="D9" i="18"/>
  <c r="D86" i="18" s="1"/>
  <c r="D11" i="1"/>
  <c r="D88" i="1" s="1"/>
  <c r="D10" i="1"/>
  <c r="D87" i="1" s="1"/>
  <c r="D14" i="1"/>
  <c r="D91" i="1" s="1"/>
  <c r="D9" i="1"/>
  <c r="D86" i="1" s="1"/>
  <c r="D15" i="1"/>
  <c r="D92" i="1" s="1"/>
  <c r="D15" i="18"/>
  <c r="D92" i="18" s="1"/>
  <c r="D15" i="17"/>
  <c r="D16" i="17"/>
  <c r="D93" i="17" s="1"/>
  <c r="D16" i="18"/>
  <c r="D93" i="18" s="1"/>
  <c r="D16" i="1"/>
  <c r="D93" i="1" s="1"/>
  <c r="D95" i="18"/>
  <c r="D95" i="17"/>
  <c r="D18" i="1"/>
  <c r="D95" i="1" s="1"/>
  <c r="D17" i="18"/>
  <c r="D94" i="18" s="1"/>
  <c r="D17" i="1"/>
  <c r="D94" i="1" s="1"/>
  <c r="D17" i="17"/>
  <c r="D94" i="17" s="1"/>
  <c r="D96" i="18"/>
  <c r="D96" i="17"/>
  <c r="D19" i="1"/>
  <c r="D96" i="1" s="1"/>
  <c r="D8" i="17"/>
  <c r="D8" i="18"/>
  <c r="D8" i="1"/>
  <c r="E164" i="18"/>
  <c r="E164" i="1"/>
  <c r="E163" i="18"/>
  <c r="E163" i="1"/>
  <c r="E162" i="18"/>
  <c r="E162" i="1"/>
  <c r="E161" i="18"/>
  <c r="E161" i="1"/>
  <c r="E164" i="17"/>
  <c r="E163" i="17"/>
  <c r="E162" i="17"/>
  <c r="E161" i="17"/>
  <c r="F164" i="18"/>
  <c r="F164" i="1"/>
  <c r="F163" i="18"/>
  <c r="F163" i="1"/>
  <c r="F162" i="18"/>
  <c r="F162" i="1"/>
  <c r="F161" i="18"/>
  <c r="F161" i="1"/>
  <c r="F164" i="17"/>
  <c r="F163" i="17"/>
  <c r="F162" i="17"/>
  <c r="F161" i="17"/>
  <c r="E160" i="17"/>
  <c r="H160" i="1"/>
  <c r="H160" i="18"/>
  <c r="G160" i="17"/>
  <c r="F160" i="1"/>
  <c r="F160" i="18"/>
  <c r="E11" i="5"/>
  <c r="E12" i="5"/>
  <c r="D61" i="5"/>
  <c r="D60" i="5"/>
  <c r="D59" i="5"/>
  <c r="D12" i="18" l="1"/>
  <c r="D12" i="17"/>
  <c r="D92" i="17"/>
  <c r="D85" i="1"/>
  <c r="H85" i="17"/>
  <c r="G85" i="17"/>
  <c r="G85" i="18"/>
  <c r="D85" i="18"/>
  <c r="D85" i="17"/>
  <c r="F85" i="18"/>
  <c r="F85" i="17"/>
  <c r="H85" i="18"/>
  <c r="E85" i="17"/>
  <c r="E85" i="18"/>
  <c r="H26" i="17"/>
  <c r="H103" i="17" s="1"/>
  <c r="H26" i="18"/>
  <c r="H103" i="18" s="1"/>
  <c r="H26" i="1"/>
  <c r="H103" i="1" s="1"/>
  <c r="H32" i="1"/>
  <c r="H109" i="1" s="1"/>
  <c r="H32" i="17"/>
  <c r="H109" i="17" s="1"/>
  <c r="H32" i="18"/>
  <c r="H109" i="18" s="1"/>
  <c r="H34" i="18"/>
  <c r="H111" i="18" s="1"/>
  <c r="H34" i="17"/>
  <c r="H111" i="17" s="1"/>
  <c r="H34" i="1"/>
  <c r="H111" i="1" s="1"/>
  <c r="H30" i="18"/>
  <c r="H107" i="18" s="1"/>
  <c r="H33" i="18"/>
  <c r="H110" i="18" s="1"/>
  <c r="H31" i="18"/>
  <c r="H108" i="18" s="1"/>
  <c r="H30" i="17"/>
  <c r="H107" i="17" s="1"/>
  <c r="H31" i="17"/>
  <c r="H108" i="17" s="1"/>
  <c r="H33" i="1"/>
  <c r="H110" i="1" s="1"/>
  <c r="H31" i="1"/>
  <c r="H108" i="1" s="1"/>
  <c r="H33" i="17"/>
  <c r="H110" i="17" s="1"/>
  <c r="H30" i="1"/>
  <c r="H107" i="1" s="1"/>
  <c r="H23" i="18"/>
  <c r="H23" i="17"/>
  <c r="H23" i="1"/>
  <c r="G41" i="17"/>
  <c r="G118" i="17" s="1"/>
  <c r="G41" i="18"/>
  <c r="G118" i="18" s="1"/>
  <c r="G41" i="1"/>
  <c r="G118" i="1" s="1"/>
  <c r="G47" i="18"/>
  <c r="G124" i="18" s="1"/>
  <c r="G47" i="1"/>
  <c r="G124" i="1" s="1"/>
  <c r="G47" i="17"/>
  <c r="G124" i="17" s="1"/>
  <c r="G49" i="18"/>
  <c r="G126" i="18" s="1"/>
  <c r="G49" i="17"/>
  <c r="G126" i="17" s="1"/>
  <c r="G49" i="1"/>
  <c r="G126" i="1" s="1"/>
  <c r="G48" i="18"/>
  <c r="G125" i="18" s="1"/>
  <c r="G45" i="18"/>
  <c r="G122" i="18" s="1"/>
  <c r="G48" i="17"/>
  <c r="G125" i="17" s="1"/>
  <c r="G45" i="17"/>
  <c r="G122" i="17" s="1"/>
  <c r="G46" i="18"/>
  <c r="G123" i="18" s="1"/>
  <c r="G48" i="1"/>
  <c r="G125" i="1" s="1"/>
  <c r="G45" i="1"/>
  <c r="G122" i="1" s="1"/>
  <c r="G46" i="17"/>
  <c r="G123" i="17" s="1"/>
  <c r="G46" i="1"/>
  <c r="G123" i="1" s="1"/>
  <c r="G38" i="18"/>
  <c r="G38" i="1"/>
  <c r="G38" i="17"/>
  <c r="D56" i="17"/>
  <c r="D133" i="17" s="1"/>
  <c r="D55" i="17"/>
  <c r="D132" i="17" s="1"/>
  <c r="D54" i="17"/>
  <c r="D131" i="17" s="1"/>
  <c r="D59" i="17"/>
  <c r="D136" i="17" s="1"/>
  <c r="D59" i="18"/>
  <c r="D136" i="18" s="1"/>
  <c r="D56" i="18"/>
  <c r="D133" i="18" s="1"/>
  <c r="D55" i="18"/>
  <c r="D132" i="18" s="1"/>
  <c r="D54" i="18"/>
  <c r="D131" i="18" s="1"/>
  <c r="D56" i="1"/>
  <c r="D133" i="1" s="1"/>
  <c r="D55" i="1"/>
  <c r="D132" i="1" s="1"/>
  <c r="D54" i="1"/>
  <c r="D131" i="1" s="1"/>
  <c r="D59" i="1"/>
  <c r="D136" i="1" s="1"/>
  <c r="D60" i="1"/>
  <c r="D137" i="1" s="1"/>
  <c r="D60" i="18"/>
  <c r="D137" i="18" s="1"/>
  <c r="D60" i="17"/>
  <c r="D137" i="17" s="1"/>
  <c r="D61" i="1"/>
  <c r="D138" i="1" s="1"/>
  <c r="D61" i="18"/>
  <c r="D138" i="18" s="1"/>
  <c r="D61" i="17"/>
  <c r="D138" i="17" s="1"/>
  <c r="D53" i="17"/>
  <c r="D53" i="18"/>
  <c r="D53" i="1"/>
  <c r="D63" i="18"/>
  <c r="D140" i="18" s="1"/>
  <c r="D63" i="17"/>
  <c r="D140" i="17" s="1"/>
  <c r="D63" i="1"/>
  <c r="D140" i="1" s="1"/>
  <c r="D62" i="1"/>
  <c r="D139" i="1" s="1"/>
  <c r="D62" i="17"/>
  <c r="D139" i="17" s="1"/>
  <c r="D62" i="18"/>
  <c r="D139" i="18" s="1"/>
  <c r="D64" i="18"/>
  <c r="D141" i="18" s="1"/>
  <c r="D64" i="1"/>
  <c r="D141" i="1" s="1"/>
  <c r="D64" i="17"/>
  <c r="D141" i="17" s="1"/>
  <c r="F41" i="17"/>
  <c r="F118" i="17" s="1"/>
  <c r="F41" i="18"/>
  <c r="F118" i="18" s="1"/>
  <c r="F41" i="1"/>
  <c r="F118" i="1" s="1"/>
  <c r="F49" i="17"/>
  <c r="F126" i="17" s="1"/>
  <c r="F49" i="18"/>
  <c r="F126" i="18" s="1"/>
  <c r="F49" i="1"/>
  <c r="F126" i="1" s="1"/>
  <c r="F48" i="18"/>
  <c r="F125" i="18" s="1"/>
  <c r="F45" i="18"/>
  <c r="F122" i="18" s="1"/>
  <c r="F47" i="1"/>
  <c r="F124" i="1" s="1"/>
  <c r="F47" i="17"/>
  <c r="F124" i="17" s="1"/>
  <c r="F47" i="18"/>
  <c r="F124" i="18" s="1"/>
  <c r="F45" i="1"/>
  <c r="F122" i="1" s="1"/>
  <c r="F46" i="18"/>
  <c r="F123" i="18" s="1"/>
  <c r="F46" i="1"/>
  <c r="F123" i="1" s="1"/>
  <c r="F48" i="1"/>
  <c r="F125" i="1" s="1"/>
  <c r="F46" i="17"/>
  <c r="F123" i="17" s="1"/>
  <c r="F48" i="17"/>
  <c r="F125" i="17" s="1"/>
  <c r="F45" i="17"/>
  <c r="F122" i="17" s="1"/>
  <c r="F38" i="1"/>
  <c r="F38" i="17"/>
  <c r="F38" i="18"/>
  <c r="H41" i="17"/>
  <c r="H118" i="17" s="1"/>
  <c r="H41" i="18"/>
  <c r="H118" i="18" s="1"/>
  <c r="H41" i="1"/>
  <c r="H118" i="1" s="1"/>
  <c r="H47" i="1"/>
  <c r="H124" i="1" s="1"/>
  <c r="H47" i="17"/>
  <c r="H124" i="17" s="1"/>
  <c r="H47" i="18"/>
  <c r="H124" i="18" s="1"/>
  <c r="H49" i="1"/>
  <c r="H126" i="1" s="1"/>
  <c r="H49" i="17"/>
  <c r="H126" i="17" s="1"/>
  <c r="H49" i="18"/>
  <c r="H126" i="18" s="1"/>
  <c r="H45" i="18"/>
  <c r="H122" i="18" s="1"/>
  <c r="H48" i="18"/>
  <c r="H125" i="18" s="1"/>
  <c r="H46" i="1"/>
  <c r="H123" i="1" s="1"/>
  <c r="H48" i="1"/>
  <c r="H125" i="1" s="1"/>
  <c r="H48" i="17"/>
  <c r="H125" i="17" s="1"/>
  <c r="H45" i="17"/>
  <c r="H122" i="17" s="1"/>
  <c r="H46" i="18"/>
  <c r="H123" i="18" s="1"/>
  <c r="H46" i="17"/>
  <c r="H123" i="17" s="1"/>
  <c r="H45" i="1"/>
  <c r="H122" i="1" s="1"/>
  <c r="H38" i="1"/>
  <c r="H38" i="17"/>
  <c r="H38" i="18"/>
  <c r="H71" i="17"/>
  <c r="H148" i="17" s="1"/>
  <c r="H71" i="18"/>
  <c r="H148" i="18" s="1"/>
  <c r="H71" i="1"/>
  <c r="H148" i="1" s="1"/>
  <c r="H77" i="1"/>
  <c r="H154" i="1" s="1"/>
  <c r="H77" i="17"/>
  <c r="H154" i="17" s="1"/>
  <c r="H77" i="18"/>
  <c r="H154" i="18" s="1"/>
  <c r="H79" i="1"/>
  <c r="H156" i="1" s="1"/>
  <c r="H79" i="18"/>
  <c r="H156" i="18" s="1"/>
  <c r="H79" i="17"/>
  <c r="H156" i="17" s="1"/>
  <c r="H75" i="18"/>
  <c r="H152" i="18" s="1"/>
  <c r="H78" i="18"/>
  <c r="H155" i="18" s="1"/>
  <c r="H76" i="1"/>
  <c r="H153" i="1" s="1"/>
  <c r="H78" i="1"/>
  <c r="H155" i="1" s="1"/>
  <c r="H78" i="17"/>
  <c r="H155" i="17" s="1"/>
  <c r="H75" i="1"/>
  <c r="H152" i="1" s="1"/>
  <c r="H76" i="18"/>
  <c r="H153" i="18" s="1"/>
  <c r="H75" i="17"/>
  <c r="H152" i="17" s="1"/>
  <c r="H76" i="17"/>
  <c r="H153" i="17" s="1"/>
  <c r="H68" i="17"/>
  <c r="H68" i="1"/>
  <c r="H68" i="18"/>
  <c r="G71" i="17"/>
  <c r="G148" i="17" s="1"/>
  <c r="G71" i="18"/>
  <c r="G148" i="18" s="1"/>
  <c r="G71" i="1"/>
  <c r="G148" i="1" s="1"/>
  <c r="G77" i="18"/>
  <c r="G154" i="18" s="1"/>
  <c r="G77" i="1"/>
  <c r="G154" i="1" s="1"/>
  <c r="G77" i="17"/>
  <c r="G154" i="17" s="1"/>
  <c r="G79" i="18"/>
  <c r="G156" i="18" s="1"/>
  <c r="G79" i="17"/>
  <c r="G156" i="17" s="1"/>
  <c r="G79" i="1"/>
  <c r="G156" i="1" s="1"/>
  <c r="G78" i="18"/>
  <c r="G155" i="18" s="1"/>
  <c r="G75" i="18"/>
  <c r="G152" i="18" s="1"/>
  <c r="G75" i="1"/>
  <c r="G152" i="1" s="1"/>
  <c r="G76" i="18"/>
  <c r="G153" i="18" s="1"/>
  <c r="G76" i="1"/>
  <c r="G153" i="1" s="1"/>
  <c r="G78" i="17"/>
  <c r="G155" i="17" s="1"/>
  <c r="G75" i="17"/>
  <c r="G152" i="17" s="1"/>
  <c r="G76" i="17"/>
  <c r="G153" i="17" s="1"/>
  <c r="G78" i="1"/>
  <c r="G155" i="1" s="1"/>
  <c r="G68" i="1"/>
  <c r="G68" i="18"/>
  <c r="G68" i="17"/>
  <c r="G56" i="17"/>
  <c r="G133" i="17" s="1"/>
  <c r="G56" i="18"/>
  <c r="G133" i="18" s="1"/>
  <c r="G56" i="1"/>
  <c r="G133" i="1" s="1"/>
  <c r="G62" i="18"/>
  <c r="G139" i="18" s="1"/>
  <c r="G62" i="1"/>
  <c r="G139" i="1" s="1"/>
  <c r="G62" i="17"/>
  <c r="G139" i="17" s="1"/>
  <c r="G64" i="18"/>
  <c r="G141" i="18" s="1"/>
  <c r="G64" i="1"/>
  <c r="G141" i="1" s="1"/>
  <c r="G64" i="17"/>
  <c r="G141" i="17" s="1"/>
  <c r="G60" i="18"/>
  <c r="G137" i="18" s="1"/>
  <c r="G63" i="18"/>
  <c r="G140" i="18" s="1"/>
  <c r="G61" i="18"/>
  <c r="G138" i="18" s="1"/>
  <c r="G61" i="1"/>
  <c r="G138" i="1" s="1"/>
  <c r="G60" i="17"/>
  <c r="G137" i="17" s="1"/>
  <c r="G63" i="17"/>
  <c r="G140" i="17" s="1"/>
  <c r="G60" i="1"/>
  <c r="G137" i="1" s="1"/>
  <c r="G61" i="17"/>
  <c r="G138" i="17" s="1"/>
  <c r="G63" i="1"/>
  <c r="G140" i="1" s="1"/>
  <c r="G53" i="18"/>
  <c r="G53" i="1"/>
  <c r="G53" i="17"/>
  <c r="E26" i="17"/>
  <c r="E103" i="17" s="1"/>
  <c r="E26" i="18"/>
  <c r="E103" i="18" s="1"/>
  <c r="E26" i="1"/>
  <c r="E103" i="1" s="1"/>
  <c r="E30" i="18"/>
  <c r="E107" i="18" s="1"/>
  <c r="E30" i="17"/>
  <c r="E107" i="17" s="1"/>
  <c r="E30" i="1"/>
  <c r="E107" i="1" s="1"/>
  <c r="E31" i="1"/>
  <c r="E108" i="1" s="1"/>
  <c r="E31" i="17"/>
  <c r="E108" i="17" s="1"/>
  <c r="E31" i="18"/>
  <c r="E108" i="18" s="1"/>
  <c r="E33" i="17"/>
  <c r="E110" i="17" s="1"/>
  <c r="E33" i="18"/>
  <c r="E110" i="18" s="1"/>
  <c r="E33" i="1"/>
  <c r="E110" i="1" s="1"/>
  <c r="E32" i="1"/>
  <c r="E109" i="1" s="1"/>
  <c r="E32" i="17"/>
  <c r="E109" i="17" s="1"/>
  <c r="E32" i="18"/>
  <c r="E109" i="18" s="1"/>
  <c r="E34" i="17"/>
  <c r="E111" i="17" s="1"/>
  <c r="E34" i="1"/>
  <c r="E111" i="1" s="1"/>
  <c r="E34" i="18"/>
  <c r="E111" i="18" s="1"/>
  <c r="E23" i="17"/>
  <c r="E23" i="18"/>
  <c r="E23" i="1"/>
  <c r="E56" i="17"/>
  <c r="E133" i="17" s="1"/>
  <c r="E56" i="18"/>
  <c r="E133" i="18" s="1"/>
  <c r="E56" i="1"/>
  <c r="E133" i="1" s="1"/>
  <c r="E60" i="18"/>
  <c r="E137" i="18" s="1"/>
  <c r="E60" i="17"/>
  <c r="E137" i="17" s="1"/>
  <c r="E60" i="1"/>
  <c r="E137" i="1" s="1"/>
  <c r="E61" i="18"/>
  <c r="E138" i="18" s="1"/>
  <c r="E61" i="17"/>
  <c r="E138" i="17" s="1"/>
  <c r="E61" i="1"/>
  <c r="E138" i="1" s="1"/>
  <c r="E53" i="18"/>
  <c r="E53" i="1"/>
  <c r="E53" i="17"/>
  <c r="E63" i="18"/>
  <c r="E140" i="18" s="1"/>
  <c r="E63" i="17"/>
  <c r="E140" i="17" s="1"/>
  <c r="E63" i="1"/>
  <c r="E140" i="1" s="1"/>
  <c r="E62" i="18"/>
  <c r="E139" i="18" s="1"/>
  <c r="E62" i="1"/>
  <c r="E139" i="1" s="1"/>
  <c r="E62" i="17"/>
  <c r="E139" i="17" s="1"/>
  <c r="E64" i="1"/>
  <c r="E141" i="1" s="1"/>
  <c r="E64" i="17"/>
  <c r="E141" i="17" s="1"/>
  <c r="E64" i="18"/>
  <c r="E141" i="18" s="1"/>
  <c r="D41" i="17"/>
  <c r="D118" i="17" s="1"/>
  <c r="D40" i="17"/>
  <c r="D117" i="17" s="1"/>
  <c r="D39" i="17"/>
  <c r="D116" i="17" s="1"/>
  <c r="D44" i="17"/>
  <c r="D121" i="17" s="1"/>
  <c r="D44" i="18"/>
  <c r="D121" i="18" s="1"/>
  <c r="D41" i="18"/>
  <c r="D118" i="18" s="1"/>
  <c r="D40" i="18"/>
  <c r="D117" i="18" s="1"/>
  <c r="D39" i="18"/>
  <c r="D116" i="18" s="1"/>
  <c r="D41" i="1"/>
  <c r="D118" i="1" s="1"/>
  <c r="D40" i="1"/>
  <c r="D117" i="1" s="1"/>
  <c r="D39" i="1"/>
  <c r="D116" i="1" s="1"/>
  <c r="D44" i="1"/>
  <c r="D121" i="1" s="1"/>
  <c r="D45" i="1"/>
  <c r="D122" i="1" s="1"/>
  <c r="D45" i="18"/>
  <c r="D122" i="18" s="1"/>
  <c r="D45" i="17"/>
  <c r="D122" i="17" s="1"/>
  <c r="D46" i="17"/>
  <c r="D123" i="17" s="1"/>
  <c r="D46" i="1"/>
  <c r="D123" i="1" s="1"/>
  <c r="D46" i="18"/>
  <c r="D123" i="18" s="1"/>
  <c r="D48" i="18"/>
  <c r="D125" i="18" s="1"/>
  <c r="D48" i="17"/>
  <c r="D125" i="17" s="1"/>
  <c r="D48" i="1"/>
  <c r="D125" i="1" s="1"/>
  <c r="D47" i="1"/>
  <c r="D124" i="1" s="1"/>
  <c r="D47" i="17"/>
  <c r="D124" i="17" s="1"/>
  <c r="D47" i="18"/>
  <c r="D124" i="18" s="1"/>
  <c r="D49" i="1"/>
  <c r="D126" i="1" s="1"/>
  <c r="D49" i="18"/>
  <c r="D126" i="18" s="1"/>
  <c r="D49" i="17"/>
  <c r="D126" i="17" s="1"/>
  <c r="D38" i="18"/>
  <c r="D38" i="17"/>
  <c r="D38" i="1"/>
  <c r="D71" i="17"/>
  <c r="D148" i="17" s="1"/>
  <c r="D70" i="17"/>
  <c r="D147" i="17" s="1"/>
  <c r="D69" i="17"/>
  <c r="D146" i="17" s="1"/>
  <c r="D74" i="17"/>
  <c r="D151" i="17" s="1"/>
  <c r="D74" i="18"/>
  <c r="D151" i="18" s="1"/>
  <c r="D71" i="18"/>
  <c r="D148" i="18" s="1"/>
  <c r="D70" i="18"/>
  <c r="D147" i="18" s="1"/>
  <c r="D69" i="18"/>
  <c r="D146" i="18" s="1"/>
  <c r="D71" i="1"/>
  <c r="D148" i="1" s="1"/>
  <c r="D70" i="1"/>
  <c r="D147" i="1" s="1"/>
  <c r="D69" i="1"/>
  <c r="D146" i="1" s="1"/>
  <c r="D74" i="1"/>
  <c r="D151" i="1" s="1"/>
  <c r="D75" i="18"/>
  <c r="D152" i="18" s="1"/>
  <c r="D75" i="17"/>
  <c r="D152" i="17" s="1"/>
  <c r="D75" i="1"/>
  <c r="D152" i="1" s="1"/>
  <c r="D76" i="18"/>
  <c r="D153" i="18" s="1"/>
  <c r="D76" i="17"/>
  <c r="D153" i="17" s="1"/>
  <c r="D76" i="1"/>
  <c r="D153" i="1" s="1"/>
  <c r="D68" i="18"/>
  <c r="D68" i="17"/>
  <c r="D68" i="1"/>
  <c r="D78" i="18"/>
  <c r="D155" i="18" s="1"/>
  <c r="D77" i="1"/>
  <c r="D154" i="1" s="1"/>
  <c r="D77" i="17"/>
  <c r="D154" i="17" s="1"/>
  <c r="D78" i="1"/>
  <c r="D155" i="1" s="1"/>
  <c r="D78" i="17"/>
  <c r="D155" i="17" s="1"/>
  <c r="D77" i="18"/>
  <c r="D154" i="18" s="1"/>
  <c r="D79" i="1"/>
  <c r="D156" i="1" s="1"/>
  <c r="D79" i="17"/>
  <c r="D156" i="17" s="1"/>
  <c r="D79" i="18"/>
  <c r="D156" i="18" s="1"/>
  <c r="F26" i="17"/>
  <c r="F103" i="17" s="1"/>
  <c r="F26" i="18"/>
  <c r="F103" i="18" s="1"/>
  <c r="F26" i="1"/>
  <c r="F103" i="1" s="1"/>
  <c r="F34" i="18"/>
  <c r="F111" i="18" s="1"/>
  <c r="F34" i="1"/>
  <c r="F111" i="1" s="1"/>
  <c r="F34" i="17"/>
  <c r="F111" i="17" s="1"/>
  <c r="F32" i="1"/>
  <c r="F109" i="1" s="1"/>
  <c r="F32" i="17"/>
  <c r="F109" i="17" s="1"/>
  <c r="F30" i="18"/>
  <c r="F107" i="18" s="1"/>
  <c r="F33" i="18"/>
  <c r="F110" i="18" s="1"/>
  <c r="F32" i="18"/>
  <c r="F109" i="18" s="1"/>
  <c r="F30" i="17"/>
  <c r="F107" i="17" s="1"/>
  <c r="F33" i="17"/>
  <c r="F110" i="17" s="1"/>
  <c r="F31" i="18"/>
  <c r="F108" i="18" s="1"/>
  <c r="F31" i="17"/>
  <c r="F108" i="17" s="1"/>
  <c r="F30" i="1"/>
  <c r="F107" i="1" s="1"/>
  <c r="F31" i="1"/>
  <c r="F108" i="1" s="1"/>
  <c r="F33" i="1"/>
  <c r="F110" i="1" s="1"/>
  <c r="F23" i="17"/>
  <c r="F23" i="1"/>
  <c r="F23" i="18"/>
  <c r="F71" i="17"/>
  <c r="F148" i="17" s="1"/>
  <c r="F71" i="18"/>
  <c r="F148" i="18" s="1"/>
  <c r="F71" i="1"/>
  <c r="F148" i="1" s="1"/>
  <c r="F79" i="17"/>
  <c r="F156" i="17" s="1"/>
  <c r="F79" i="1"/>
  <c r="F156" i="1" s="1"/>
  <c r="F79" i="18"/>
  <c r="F156" i="18" s="1"/>
  <c r="F77" i="18"/>
  <c r="F154" i="18" s="1"/>
  <c r="F78" i="18"/>
  <c r="F155" i="18" s="1"/>
  <c r="F75" i="18"/>
  <c r="F152" i="18" s="1"/>
  <c r="F77" i="1"/>
  <c r="F154" i="1" s="1"/>
  <c r="F77" i="17"/>
  <c r="F154" i="17" s="1"/>
  <c r="F68" i="17"/>
  <c r="F75" i="17"/>
  <c r="F152" i="17" s="1"/>
  <c r="F75" i="1"/>
  <c r="F152" i="1" s="1"/>
  <c r="F78" i="1"/>
  <c r="F155" i="1" s="1"/>
  <c r="F78" i="17"/>
  <c r="F155" i="17" s="1"/>
  <c r="F76" i="1"/>
  <c r="F153" i="1" s="1"/>
  <c r="F76" i="18"/>
  <c r="F153" i="18" s="1"/>
  <c r="F76" i="17"/>
  <c r="F153" i="17" s="1"/>
  <c r="F68" i="18"/>
  <c r="F68" i="1"/>
  <c r="H56" i="17"/>
  <c r="H133" i="17" s="1"/>
  <c r="H56" i="18"/>
  <c r="H133" i="18" s="1"/>
  <c r="H56" i="1"/>
  <c r="H133" i="1" s="1"/>
  <c r="H62" i="1"/>
  <c r="H139" i="1" s="1"/>
  <c r="H62" i="17"/>
  <c r="H139" i="17" s="1"/>
  <c r="H62" i="18"/>
  <c r="H139" i="18" s="1"/>
  <c r="H64" i="18"/>
  <c r="H141" i="18" s="1"/>
  <c r="H64" i="17"/>
  <c r="H141" i="17" s="1"/>
  <c r="H64" i="1"/>
  <c r="H141" i="1" s="1"/>
  <c r="H63" i="18"/>
  <c r="H140" i="18" s="1"/>
  <c r="H60" i="18"/>
  <c r="H137" i="18" s="1"/>
  <c r="H61" i="1"/>
  <c r="H138" i="1" s="1"/>
  <c r="H60" i="1"/>
  <c r="H137" i="1" s="1"/>
  <c r="H60" i="17"/>
  <c r="H137" i="17" s="1"/>
  <c r="H61" i="18"/>
  <c r="H138" i="18" s="1"/>
  <c r="H63" i="1"/>
  <c r="H140" i="1" s="1"/>
  <c r="H61" i="17"/>
  <c r="H138" i="17" s="1"/>
  <c r="H63" i="17"/>
  <c r="H140" i="17" s="1"/>
  <c r="H53" i="17"/>
  <c r="H53" i="1"/>
  <c r="H53" i="18"/>
  <c r="G26" i="17"/>
  <c r="G103" i="17" s="1"/>
  <c r="G26" i="18"/>
  <c r="G103" i="18" s="1"/>
  <c r="G26" i="1"/>
  <c r="G103" i="1" s="1"/>
  <c r="G32" i="1"/>
  <c r="G109" i="1" s="1"/>
  <c r="G32" i="17"/>
  <c r="G109" i="17" s="1"/>
  <c r="G32" i="18"/>
  <c r="G109" i="18" s="1"/>
  <c r="G34" i="1"/>
  <c r="G111" i="1" s="1"/>
  <c r="G34" i="18"/>
  <c r="G111" i="18" s="1"/>
  <c r="G34" i="17"/>
  <c r="G111" i="17" s="1"/>
  <c r="G33" i="18"/>
  <c r="G110" i="18" s="1"/>
  <c r="G30" i="18"/>
  <c r="G107" i="18" s="1"/>
  <c r="G31" i="1"/>
  <c r="G108" i="1" s="1"/>
  <c r="G31" i="18"/>
  <c r="G108" i="18" s="1"/>
  <c r="G33" i="17"/>
  <c r="G110" i="17" s="1"/>
  <c r="G30" i="17"/>
  <c r="G107" i="17" s="1"/>
  <c r="G33" i="1"/>
  <c r="G110" i="1" s="1"/>
  <c r="G30" i="1"/>
  <c r="G107" i="1" s="1"/>
  <c r="G31" i="17"/>
  <c r="G108" i="17" s="1"/>
  <c r="G23" i="17"/>
  <c r="G23" i="18"/>
  <c r="G23" i="1"/>
  <c r="E41" i="17"/>
  <c r="E118" i="17" s="1"/>
  <c r="E41" i="18"/>
  <c r="E118" i="18" s="1"/>
  <c r="E41" i="1"/>
  <c r="E118" i="1" s="1"/>
  <c r="E45" i="18"/>
  <c r="E122" i="18" s="1"/>
  <c r="E45" i="17"/>
  <c r="E122" i="17" s="1"/>
  <c r="E45" i="1"/>
  <c r="E122" i="1" s="1"/>
  <c r="E46" i="17"/>
  <c r="E123" i="17" s="1"/>
  <c r="E46" i="1"/>
  <c r="E123" i="1" s="1"/>
  <c r="E46" i="18"/>
  <c r="E123" i="18" s="1"/>
  <c r="E48" i="17"/>
  <c r="E125" i="17" s="1"/>
  <c r="E48" i="1"/>
  <c r="E125" i="1" s="1"/>
  <c r="E48" i="18"/>
  <c r="E125" i="18" s="1"/>
  <c r="E47" i="18"/>
  <c r="E124" i="18" s="1"/>
  <c r="E47" i="1"/>
  <c r="E124" i="1" s="1"/>
  <c r="E47" i="17"/>
  <c r="E124" i="17" s="1"/>
  <c r="E49" i="17"/>
  <c r="E126" i="17" s="1"/>
  <c r="E49" i="18"/>
  <c r="E126" i="18" s="1"/>
  <c r="E49" i="1"/>
  <c r="E126" i="1" s="1"/>
  <c r="E38" i="17"/>
  <c r="E38" i="18"/>
  <c r="E38" i="1"/>
  <c r="E71" i="17"/>
  <c r="E148" i="17" s="1"/>
  <c r="E71" i="18"/>
  <c r="E148" i="18" s="1"/>
  <c r="E71" i="1"/>
  <c r="E148" i="1" s="1"/>
  <c r="E75" i="18"/>
  <c r="E152" i="18" s="1"/>
  <c r="E75" i="17"/>
  <c r="E152" i="17" s="1"/>
  <c r="E75" i="1"/>
  <c r="E152" i="1" s="1"/>
  <c r="E76" i="1"/>
  <c r="E153" i="1" s="1"/>
  <c r="E76" i="18"/>
  <c r="E153" i="18" s="1"/>
  <c r="E76" i="17"/>
  <c r="E153" i="17" s="1"/>
  <c r="E68" i="17"/>
  <c r="E68" i="18"/>
  <c r="E68" i="1"/>
  <c r="E78" i="17"/>
  <c r="E155" i="17" s="1"/>
  <c r="E78" i="1"/>
  <c r="E155" i="1" s="1"/>
  <c r="E77" i="18"/>
  <c r="E154" i="18" s="1"/>
  <c r="E78" i="18"/>
  <c r="E155" i="18" s="1"/>
  <c r="E77" i="1"/>
  <c r="E154" i="1" s="1"/>
  <c r="E77" i="17"/>
  <c r="E154" i="17" s="1"/>
  <c r="E79" i="17"/>
  <c r="E156" i="17" s="1"/>
  <c r="E79" i="18"/>
  <c r="E156" i="18" s="1"/>
  <c r="E79" i="1"/>
  <c r="E156" i="1" s="1"/>
  <c r="D29" i="17"/>
  <c r="D106" i="17" s="1"/>
  <c r="D29" i="18"/>
  <c r="D106" i="18" s="1"/>
  <c r="D26" i="17"/>
  <c r="D103" i="17" s="1"/>
  <c r="D25" i="17"/>
  <c r="D102" i="17" s="1"/>
  <c r="D24" i="17"/>
  <c r="D101" i="17" s="1"/>
  <c r="D26" i="18"/>
  <c r="D103" i="18" s="1"/>
  <c r="D25" i="18"/>
  <c r="D102" i="18" s="1"/>
  <c r="D24" i="18"/>
  <c r="D101" i="18" s="1"/>
  <c r="D26" i="1"/>
  <c r="D103" i="1" s="1"/>
  <c r="D25" i="1"/>
  <c r="D102" i="1" s="1"/>
  <c r="D24" i="1"/>
  <c r="D101" i="1" s="1"/>
  <c r="D29" i="1"/>
  <c r="D106" i="1" s="1"/>
  <c r="D30" i="18"/>
  <c r="D107" i="18" s="1"/>
  <c r="D30" i="17"/>
  <c r="D107" i="17" s="1"/>
  <c r="D30" i="1"/>
  <c r="D107" i="1" s="1"/>
  <c r="D31" i="1"/>
  <c r="D108" i="1" s="1"/>
  <c r="D31" i="17"/>
  <c r="D108" i="17" s="1"/>
  <c r="D31" i="18"/>
  <c r="D108" i="18" s="1"/>
  <c r="D33" i="17"/>
  <c r="D110" i="17" s="1"/>
  <c r="D33" i="1"/>
  <c r="D110" i="1" s="1"/>
  <c r="D33" i="18"/>
  <c r="D110" i="18" s="1"/>
  <c r="D32" i="18"/>
  <c r="D109" i="18" s="1"/>
  <c r="D32" i="1"/>
  <c r="D109" i="1" s="1"/>
  <c r="D32" i="17"/>
  <c r="D109" i="17" s="1"/>
  <c r="D34" i="1"/>
  <c r="D111" i="1" s="1"/>
  <c r="D34" i="18"/>
  <c r="D111" i="18" s="1"/>
  <c r="D34" i="17"/>
  <c r="D111" i="17" s="1"/>
  <c r="D23" i="18"/>
  <c r="D23" i="17"/>
  <c r="D23" i="1"/>
  <c r="F56" i="17"/>
  <c r="F133" i="17" s="1"/>
  <c r="F56" i="18"/>
  <c r="F133" i="18" s="1"/>
  <c r="F56" i="1"/>
  <c r="F133" i="1" s="1"/>
  <c r="F64" i="17"/>
  <c r="F141" i="17" s="1"/>
  <c r="F64" i="1"/>
  <c r="F141" i="1" s="1"/>
  <c r="F64" i="18"/>
  <c r="F141" i="18" s="1"/>
  <c r="F60" i="18"/>
  <c r="F137" i="18" s="1"/>
  <c r="F63" i="18"/>
  <c r="F140" i="18" s="1"/>
  <c r="F62" i="18"/>
  <c r="F139" i="18" s="1"/>
  <c r="F62" i="1"/>
  <c r="F139" i="1" s="1"/>
  <c r="F62" i="17"/>
  <c r="F139" i="17" s="1"/>
  <c r="F61" i="17"/>
  <c r="F138" i="17" s="1"/>
  <c r="F63" i="17"/>
  <c r="F140" i="17" s="1"/>
  <c r="F61" i="1"/>
  <c r="F138" i="1" s="1"/>
  <c r="F60" i="17"/>
  <c r="F137" i="17" s="1"/>
  <c r="F53" i="18"/>
  <c r="F60" i="1"/>
  <c r="F137" i="1" s="1"/>
  <c r="F61" i="18"/>
  <c r="F138" i="18" s="1"/>
  <c r="F63" i="1"/>
  <c r="F140" i="1" s="1"/>
  <c r="F53" i="1"/>
  <c r="F53" i="17"/>
  <c r="D12" i="1"/>
  <c r="F130" i="17" l="1"/>
  <c r="D100" i="17"/>
  <c r="E145" i="1"/>
  <c r="E145" i="17"/>
  <c r="E115" i="1"/>
  <c r="E115" i="17"/>
  <c r="G100" i="18"/>
  <c r="H130" i="18"/>
  <c r="H130" i="17"/>
  <c r="F145" i="18"/>
  <c r="F145" i="17"/>
  <c r="F100" i="18"/>
  <c r="F100" i="17"/>
  <c r="D145" i="1"/>
  <c r="D145" i="18"/>
  <c r="D115" i="17"/>
  <c r="E130" i="17"/>
  <c r="E130" i="18"/>
  <c r="E100" i="1"/>
  <c r="E100" i="17"/>
  <c r="G130" i="1"/>
  <c r="G145" i="17"/>
  <c r="G145" i="1"/>
  <c r="H145" i="1"/>
  <c r="H115" i="18"/>
  <c r="H115" i="1"/>
  <c r="F115" i="17"/>
  <c r="D130" i="18"/>
  <c r="G115" i="17"/>
  <c r="G115" i="18"/>
  <c r="H100" i="17"/>
  <c r="F130" i="1"/>
  <c r="F130" i="18"/>
  <c r="D100" i="1"/>
  <c r="D100" i="18"/>
  <c r="E145" i="18"/>
  <c r="E115" i="18"/>
  <c r="G100" i="1"/>
  <c r="G100" i="17"/>
  <c r="H130" i="1"/>
  <c r="F145" i="1"/>
  <c r="F100" i="1"/>
  <c r="D145" i="17"/>
  <c r="D115" i="1"/>
  <c r="D115" i="18"/>
  <c r="E130" i="1"/>
  <c r="E100" i="18"/>
  <c r="G130" i="17"/>
  <c r="G130" i="18"/>
  <c r="G145" i="18"/>
  <c r="H145" i="18"/>
  <c r="H145" i="17"/>
  <c r="H115" i="17"/>
  <c r="F115" i="18"/>
  <c r="F115" i="1"/>
  <c r="D130" i="1"/>
  <c r="D130" i="17"/>
  <c r="G115" i="1"/>
  <c r="H100" i="1"/>
  <c r="H100" i="18"/>
  <c r="G12" i="2"/>
  <c r="F12" i="2"/>
  <c r="E12" i="2"/>
  <c r="H12" i="2"/>
  <c r="G37" i="2"/>
  <c r="G33" i="2"/>
  <c r="G44" i="2"/>
  <c r="G34" i="2"/>
  <c r="G16" i="2"/>
  <c r="G49" i="2"/>
  <c r="G48" i="2"/>
  <c r="G20" i="2"/>
  <c r="G35" i="2"/>
  <c r="F29" i="2"/>
  <c r="E29" i="2"/>
  <c r="H44" i="2"/>
  <c r="G29" i="2"/>
  <c r="F44" i="2"/>
  <c r="E44" i="2"/>
  <c r="H29" i="2"/>
  <c r="G19" i="2"/>
  <c r="G36" i="2"/>
  <c r="G17" i="2"/>
  <c r="G51" i="2"/>
  <c r="G52" i="2"/>
  <c r="G50" i="2"/>
  <c r="G18" i="2"/>
  <c r="F26" i="2"/>
  <c r="F17" i="2"/>
  <c r="F34" i="2"/>
  <c r="F36" i="2"/>
  <c r="F50" i="2"/>
  <c r="F51" i="2"/>
  <c r="F35" i="2"/>
  <c r="F20" i="2"/>
  <c r="E52" i="2"/>
  <c r="E20" i="2"/>
  <c r="E50" i="2"/>
  <c r="E18" i="2"/>
  <c r="E17" i="2"/>
  <c r="E16" i="2"/>
  <c r="E48" i="2"/>
  <c r="H16" i="2"/>
  <c r="H19" i="2"/>
  <c r="H33" i="2"/>
  <c r="H51" i="2"/>
  <c r="H37" i="2"/>
  <c r="H50" i="2"/>
  <c r="H18" i="2"/>
  <c r="F19" i="2"/>
  <c r="F16" i="2"/>
  <c r="F49" i="2"/>
  <c r="F33" i="2"/>
  <c r="F48" i="2"/>
  <c r="F18" i="2"/>
  <c r="F37" i="2"/>
  <c r="F52" i="2"/>
  <c r="E37" i="2"/>
  <c r="E35" i="2"/>
  <c r="E19" i="2"/>
  <c r="E51" i="2"/>
  <c r="E36" i="2"/>
  <c r="E49" i="2"/>
  <c r="E34" i="2"/>
  <c r="E33" i="2"/>
  <c r="H36" i="2"/>
  <c r="H17" i="2"/>
  <c r="H34" i="2"/>
  <c r="H49" i="2"/>
  <c r="H48" i="2"/>
  <c r="H20" i="2"/>
  <c r="H52" i="2"/>
  <c r="H35" i="2"/>
  <c r="D27" i="18"/>
  <c r="D72" i="17"/>
  <c r="D42" i="17"/>
  <c r="D72" i="18"/>
  <c r="D57" i="17"/>
  <c r="D42" i="18"/>
  <c r="D57" i="18"/>
  <c r="D27" i="17"/>
  <c r="D89" i="17"/>
  <c r="D97" i="17" s="1"/>
  <c r="D20" i="17"/>
  <c r="D89" i="18"/>
  <c r="D97" i="18" s="1"/>
  <c r="D20" i="18"/>
  <c r="D42" i="1"/>
  <c r="D72" i="1"/>
  <c r="D57" i="1"/>
  <c r="D27" i="1"/>
  <c r="D89" i="1"/>
  <c r="D97" i="1" s="1"/>
  <c r="D20" i="1"/>
  <c r="G26" i="2" l="1"/>
  <c r="F41" i="2"/>
  <c r="G41" i="2"/>
  <c r="H26" i="2"/>
  <c r="E9" i="2"/>
  <c r="E41" i="2"/>
  <c r="H9" i="2"/>
  <c r="F9" i="2"/>
  <c r="E26" i="2"/>
  <c r="H41" i="2"/>
  <c r="G9" i="2"/>
  <c r="D134" i="18"/>
  <c r="D142" i="18" s="1"/>
  <c r="D65" i="18"/>
  <c r="D134" i="17"/>
  <c r="D142" i="17" s="1"/>
  <c r="D65" i="17"/>
  <c r="D149" i="18"/>
  <c r="D157" i="18" s="1"/>
  <c r="D80" i="18"/>
  <c r="D149" i="17"/>
  <c r="D157" i="17" s="1"/>
  <c r="D80" i="17"/>
  <c r="D104" i="18"/>
  <c r="D112" i="18" s="1"/>
  <c r="D35" i="18"/>
  <c r="D104" i="17"/>
  <c r="D112" i="17" s="1"/>
  <c r="D35" i="17"/>
  <c r="D119" i="18"/>
  <c r="D127" i="18" s="1"/>
  <c r="D50" i="18"/>
  <c r="D119" i="17"/>
  <c r="D127" i="17" s="1"/>
  <c r="D50" i="17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164" i="5" l="1"/>
  <c r="F164" i="5"/>
  <c r="G164" i="5"/>
  <c r="H164" i="5"/>
  <c r="E165" i="5"/>
  <c r="F165" i="5" l="1"/>
  <c r="G165" i="5" l="1"/>
  <c r="G160" i="5" l="1"/>
  <c r="G161" i="5"/>
  <c r="G162" i="5"/>
  <c r="G158" i="5"/>
  <c r="G159" i="5"/>
  <c r="H165" i="5"/>
  <c r="F12" i="5"/>
  <c r="H159" i="5" l="1"/>
  <c r="H158" i="5"/>
  <c r="H161" i="5"/>
  <c r="H162" i="5"/>
  <c r="H160" i="5"/>
  <c r="F11" i="5"/>
  <c r="G12" i="5"/>
  <c r="H12" i="5" l="1"/>
  <c r="G11" i="5"/>
  <c r="H11" i="5"/>
  <c r="F175" i="5" l="1"/>
  <c r="G175" i="5" l="1"/>
  <c r="H175" i="5" l="1"/>
  <c r="G172" i="5"/>
  <c r="G170" i="5"/>
  <c r="H170" i="5" s="1"/>
  <c r="G173" i="5"/>
  <c r="G171" i="5"/>
  <c r="H171" i="5" s="1"/>
  <c r="G169" i="5"/>
  <c r="H169" i="5" l="1"/>
  <c r="H173" i="5"/>
  <c r="H172" i="5"/>
  <c r="E175" i="5" l="1"/>
  <c r="F196" i="5" l="1"/>
  <c r="F38" i="5" l="1"/>
  <c r="F37" i="5"/>
  <c r="F36" i="5"/>
  <c r="F35" i="5"/>
  <c r="H196" i="5"/>
  <c r="G196" i="5"/>
  <c r="G36" i="5" l="1"/>
  <c r="G35" i="5"/>
  <c r="G37" i="5"/>
  <c r="G38" i="5"/>
  <c r="E10" i="5"/>
  <c r="E8" i="5"/>
  <c r="E9" i="5"/>
  <c r="E196" i="5"/>
  <c r="H36" i="5"/>
  <c r="H35" i="5"/>
  <c r="H38" i="5"/>
  <c r="H37" i="5"/>
  <c r="G10" i="5" l="1"/>
  <c r="F10" i="5"/>
  <c r="F9" i="5"/>
  <c r="F8" i="5"/>
  <c r="E27" i="5"/>
  <c r="E37" i="5"/>
  <c r="E36" i="5"/>
  <c r="E35" i="5"/>
  <c r="E38" i="5"/>
  <c r="E24" i="17"/>
  <c r="E24" i="1"/>
  <c r="E24" i="18"/>
  <c r="E69" i="1"/>
  <c r="E69" i="17"/>
  <c r="E69" i="18"/>
  <c r="E39" i="18"/>
  <c r="E39" i="17"/>
  <c r="E39" i="1"/>
  <c r="H10" i="5" l="1"/>
  <c r="E9" i="1"/>
  <c r="E86" i="1" s="1"/>
  <c r="E9" i="18"/>
  <c r="E9" i="17"/>
  <c r="E116" i="1"/>
  <c r="E116" i="17"/>
  <c r="E146" i="17"/>
  <c r="E146" i="1"/>
  <c r="E101" i="18"/>
  <c r="E101" i="1"/>
  <c r="E101" i="17"/>
  <c r="E16" i="5"/>
  <c r="F9" i="1"/>
  <c r="F9" i="17"/>
  <c r="F9" i="18"/>
  <c r="E44" i="17"/>
  <c r="E121" i="17" s="1"/>
  <c r="E44" i="18"/>
  <c r="E121" i="18" s="1"/>
  <c r="E44" i="1"/>
  <c r="E121" i="1" s="1"/>
  <c r="E116" i="18"/>
  <c r="E146" i="18"/>
  <c r="F27" i="5"/>
  <c r="F39" i="18"/>
  <c r="F39" i="17"/>
  <c r="F39" i="1"/>
  <c r="G8" i="5"/>
  <c r="H8" i="5"/>
  <c r="H9" i="5"/>
  <c r="G9" i="5"/>
  <c r="F69" i="18"/>
  <c r="F69" i="1"/>
  <c r="F69" i="17"/>
  <c r="F24" i="18"/>
  <c r="F24" i="1"/>
  <c r="F24" i="17"/>
  <c r="G23" i="5"/>
  <c r="H23" i="5"/>
  <c r="F23" i="5"/>
  <c r="E86" i="17" l="1"/>
  <c r="E86" i="18"/>
  <c r="F101" i="17"/>
  <c r="F101" i="18"/>
  <c r="F146" i="1"/>
  <c r="G9" i="18"/>
  <c r="G9" i="17"/>
  <c r="G9" i="1"/>
  <c r="F116" i="1"/>
  <c r="F116" i="17"/>
  <c r="H27" i="5"/>
  <c r="G27" i="5"/>
  <c r="E54" i="17"/>
  <c r="E54" i="1"/>
  <c r="E54" i="18"/>
  <c r="H24" i="18"/>
  <c r="H24" i="1"/>
  <c r="H24" i="17"/>
  <c r="G69" i="1"/>
  <c r="G69" i="17"/>
  <c r="G69" i="18"/>
  <c r="F86" i="17"/>
  <c r="H39" i="17"/>
  <c r="H39" i="18"/>
  <c r="H39" i="1"/>
  <c r="F44" i="17"/>
  <c r="F121" i="17" s="1"/>
  <c r="F44" i="18"/>
  <c r="F121" i="18" s="1"/>
  <c r="F44" i="1"/>
  <c r="F121" i="1" s="1"/>
  <c r="F101" i="1"/>
  <c r="F146" i="17"/>
  <c r="F146" i="18"/>
  <c r="H9" i="1"/>
  <c r="H9" i="17"/>
  <c r="H9" i="18"/>
  <c r="H16" i="5"/>
  <c r="F116" i="18"/>
  <c r="F16" i="5"/>
  <c r="G24" i="18"/>
  <c r="G24" i="1"/>
  <c r="G24" i="17"/>
  <c r="H69" i="1"/>
  <c r="H69" i="17"/>
  <c r="H69" i="18"/>
  <c r="F86" i="18"/>
  <c r="F86" i="1"/>
  <c r="G39" i="18"/>
  <c r="G39" i="1"/>
  <c r="G39" i="17"/>
  <c r="E23" i="5"/>
  <c r="G116" i="17" l="1"/>
  <c r="G116" i="18"/>
  <c r="H146" i="18"/>
  <c r="H146" i="1"/>
  <c r="G101" i="17"/>
  <c r="G101" i="18"/>
  <c r="E40" i="17"/>
  <c r="H86" i="18"/>
  <c r="H86" i="1"/>
  <c r="H116" i="1"/>
  <c r="H116" i="17"/>
  <c r="G146" i="17"/>
  <c r="H101" i="1"/>
  <c r="E131" i="18"/>
  <c r="E42" i="2" s="1"/>
  <c r="E131" i="17"/>
  <c r="E27" i="2" s="1"/>
  <c r="G16" i="5"/>
  <c r="G86" i="1"/>
  <c r="G86" i="17"/>
  <c r="G44" i="1"/>
  <c r="G121" i="1" s="1"/>
  <c r="G44" i="17"/>
  <c r="G121" i="17" s="1"/>
  <c r="G44" i="18"/>
  <c r="G121" i="18" s="1"/>
  <c r="G116" i="1"/>
  <c r="H146" i="17"/>
  <c r="G101" i="1"/>
  <c r="E40" i="1"/>
  <c r="E40" i="18"/>
  <c r="F54" i="18"/>
  <c r="F54" i="17"/>
  <c r="F54" i="1"/>
  <c r="H86" i="17"/>
  <c r="F40" i="1"/>
  <c r="F40" i="18"/>
  <c r="F40" i="17"/>
  <c r="H116" i="18"/>
  <c r="H40" i="1"/>
  <c r="H40" i="18"/>
  <c r="H40" i="17"/>
  <c r="G146" i="18"/>
  <c r="G146" i="1"/>
  <c r="H101" i="17"/>
  <c r="H101" i="18"/>
  <c r="E131" i="1"/>
  <c r="E10" i="2" s="1"/>
  <c r="G86" i="18"/>
  <c r="H44" i="1"/>
  <c r="H121" i="1" s="1"/>
  <c r="H44" i="17"/>
  <c r="H121" i="17" s="1"/>
  <c r="H44" i="18"/>
  <c r="H121" i="18" s="1"/>
  <c r="E79" i="2" l="1"/>
  <c r="E71" i="2"/>
  <c r="E63" i="2"/>
  <c r="H42" i="18"/>
  <c r="H119" i="18" s="1"/>
  <c r="H42" i="1"/>
  <c r="F42" i="18"/>
  <c r="F119" i="18" s="1"/>
  <c r="F42" i="1"/>
  <c r="E42" i="1"/>
  <c r="H42" i="17"/>
  <c r="H119" i="17" s="1"/>
  <c r="F42" i="17"/>
  <c r="F119" i="17" s="1"/>
  <c r="E42" i="18"/>
  <c r="E119" i="18" s="1"/>
  <c r="E42" i="17"/>
  <c r="E119" i="17" s="1"/>
  <c r="H117" i="18"/>
  <c r="H117" i="1"/>
  <c r="F117" i="18"/>
  <c r="F117" i="1"/>
  <c r="F131" i="1"/>
  <c r="F10" i="2" s="1"/>
  <c r="F131" i="18"/>
  <c r="F42" i="2" s="1"/>
  <c r="E117" i="1"/>
  <c r="E59" i="17"/>
  <c r="E136" i="17" s="1"/>
  <c r="E59" i="1"/>
  <c r="E136" i="1" s="1"/>
  <c r="E59" i="18"/>
  <c r="E136" i="18" s="1"/>
  <c r="G40" i="18"/>
  <c r="G40" i="17"/>
  <c r="G40" i="1"/>
  <c r="G54" i="17"/>
  <c r="G54" i="1"/>
  <c r="G54" i="18"/>
  <c r="H54" i="18"/>
  <c r="H54" i="17"/>
  <c r="H54" i="1"/>
  <c r="H117" i="17"/>
  <c r="F117" i="17"/>
  <c r="F131" i="17"/>
  <c r="F27" i="2" s="1"/>
  <c r="E117" i="18"/>
  <c r="E117" i="17"/>
  <c r="E119" i="1" l="1"/>
  <c r="E127" i="1" s="1"/>
  <c r="H119" i="1"/>
  <c r="F119" i="1"/>
  <c r="F79" i="2"/>
  <c r="F71" i="2"/>
  <c r="F63" i="2"/>
  <c r="H50" i="17"/>
  <c r="E50" i="1"/>
  <c r="F50" i="18"/>
  <c r="H50" i="18"/>
  <c r="H50" i="1"/>
  <c r="E50" i="18"/>
  <c r="E50" i="17"/>
  <c r="F50" i="17"/>
  <c r="F50" i="1"/>
  <c r="G42" i="18"/>
  <c r="G119" i="18" s="1"/>
  <c r="G42" i="1"/>
  <c r="G42" i="17"/>
  <c r="G119" i="17" s="1"/>
  <c r="F59" i="18"/>
  <c r="F136" i="18" s="1"/>
  <c r="F59" i="17"/>
  <c r="F136" i="17" s="1"/>
  <c r="F59" i="1"/>
  <c r="F136" i="1" s="1"/>
  <c r="H131" i="1"/>
  <c r="H10" i="2" s="1"/>
  <c r="H131" i="17"/>
  <c r="H27" i="2" s="1"/>
  <c r="G131" i="18"/>
  <c r="G42" i="2" s="1"/>
  <c r="G131" i="17"/>
  <c r="G27" i="2" s="1"/>
  <c r="G117" i="18"/>
  <c r="E55" i="1"/>
  <c r="E55" i="18"/>
  <c r="E55" i="17"/>
  <c r="E127" i="17"/>
  <c r="F127" i="17"/>
  <c r="H131" i="18"/>
  <c r="H42" i="2" s="1"/>
  <c r="G131" i="1"/>
  <c r="G10" i="2" s="1"/>
  <c r="G117" i="1"/>
  <c r="G117" i="17"/>
  <c r="E127" i="18"/>
  <c r="H127" i="17"/>
  <c r="F127" i="18"/>
  <c r="H127" i="18"/>
  <c r="F127" i="1" l="1"/>
  <c r="H127" i="1"/>
  <c r="G119" i="1"/>
  <c r="H79" i="2"/>
  <c r="G79" i="2"/>
  <c r="H71" i="2"/>
  <c r="G71" i="2"/>
  <c r="G63" i="2"/>
  <c r="H63" i="2"/>
  <c r="G50" i="1"/>
  <c r="E57" i="17"/>
  <c r="E134" i="17" s="1"/>
  <c r="E57" i="1"/>
  <c r="E57" i="18"/>
  <c r="E134" i="18" s="1"/>
  <c r="H59" i="1"/>
  <c r="H136" i="1" s="1"/>
  <c r="H59" i="18"/>
  <c r="H136" i="18" s="1"/>
  <c r="H59" i="17"/>
  <c r="H136" i="17" s="1"/>
  <c r="E132" i="17"/>
  <c r="E132" i="1"/>
  <c r="G127" i="17"/>
  <c r="G127" i="18"/>
  <c r="G50" i="17"/>
  <c r="G59" i="17"/>
  <c r="G136" i="17" s="1"/>
  <c r="G59" i="1"/>
  <c r="G136" i="1" s="1"/>
  <c r="G59" i="18"/>
  <c r="G136" i="18" s="1"/>
  <c r="E132" i="18"/>
  <c r="G50" i="18"/>
  <c r="F55" i="17"/>
  <c r="F55" i="1"/>
  <c r="F55" i="18"/>
  <c r="E134" i="1" l="1"/>
  <c r="E142" i="1" s="1"/>
  <c r="G127" i="1"/>
  <c r="E65" i="17"/>
  <c r="E65" i="18"/>
  <c r="E142" i="18"/>
  <c r="E65" i="1"/>
  <c r="E142" i="17"/>
  <c r="F57" i="18"/>
  <c r="F134" i="18" s="1"/>
  <c r="F57" i="1"/>
  <c r="F57" i="17"/>
  <c r="F134" i="17" s="1"/>
  <c r="H55" i="17"/>
  <c r="H55" i="1"/>
  <c r="H55" i="18"/>
  <c r="F132" i="18"/>
  <c r="F132" i="1"/>
  <c r="F132" i="17"/>
  <c r="G55" i="18"/>
  <c r="G55" i="17"/>
  <c r="G55" i="1"/>
  <c r="F134" i="1" l="1"/>
  <c r="F65" i="18"/>
  <c r="F65" i="17"/>
  <c r="G57" i="1"/>
  <c r="G57" i="17"/>
  <c r="G134" i="17" s="1"/>
  <c r="G57" i="18"/>
  <c r="G134" i="18" s="1"/>
  <c r="H57" i="18"/>
  <c r="H134" i="18" s="1"/>
  <c r="H57" i="1"/>
  <c r="H57" i="17"/>
  <c r="H134" i="17" s="1"/>
  <c r="G132" i="1"/>
  <c r="G132" i="17"/>
  <c r="G132" i="18"/>
  <c r="F65" i="1"/>
  <c r="H132" i="18"/>
  <c r="H132" i="1"/>
  <c r="H132" i="17"/>
  <c r="F142" i="17"/>
  <c r="F142" i="18"/>
  <c r="F142" i="1" l="1"/>
  <c r="H134" i="1"/>
  <c r="G134" i="1"/>
  <c r="H65" i="1"/>
  <c r="H65" i="17"/>
  <c r="H65" i="18"/>
  <c r="G65" i="17"/>
  <c r="G65" i="18"/>
  <c r="G65" i="1"/>
  <c r="H142" i="17"/>
  <c r="H142" i="18"/>
  <c r="G142" i="17"/>
  <c r="G142" i="18"/>
  <c r="G142" i="1" l="1"/>
  <c r="H142" i="1"/>
  <c r="E29" i="5" l="1"/>
  <c r="E18" i="5" s="1"/>
  <c r="E31" i="5"/>
  <c r="E20" i="5" s="1"/>
  <c r="E28" i="5"/>
  <c r="E30" i="5"/>
  <c r="E19" i="5" s="1"/>
  <c r="E29" i="17" l="1"/>
  <c r="E106" i="17" s="1"/>
  <c r="E29" i="18"/>
  <c r="E106" i="18" s="1"/>
  <c r="E29" i="1"/>
  <c r="E106" i="1" s="1"/>
  <c r="E74" i="1"/>
  <c r="E151" i="1" s="1"/>
  <c r="E74" i="18"/>
  <c r="E151" i="18" s="1"/>
  <c r="E74" i="17"/>
  <c r="E151" i="17" s="1"/>
  <c r="E17" i="5"/>
  <c r="E14" i="17"/>
  <c r="E91" i="17" s="1"/>
  <c r="E14" i="18"/>
  <c r="E91" i="18" s="1"/>
  <c r="E14" i="1"/>
  <c r="F30" i="5"/>
  <c r="F19" i="5" s="1"/>
  <c r="F28" i="5"/>
  <c r="F31" i="5"/>
  <c r="F20" i="5" s="1"/>
  <c r="F29" i="5"/>
  <c r="F18" i="5" s="1"/>
  <c r="E91" i="1" l="1"/>
  <c r="E15" i="2" s="1"/>
  <c r="E32" i="2"/>
  <c r="E47" i="2"/>
  <c r="F74" i="18"/>
  <c r="F151" i="18" s="1"/>
  <c r="F74" i="17"/>
  <c r="F151" i="17" s="1"/>
  <c r="F74" i="1"/>
  <c r="F151" i="1" s="1"/>
  <c r="F29" i="18"/>
  <c r="F106" i="18" s="1"/>
  <c r="F29" i="1"/>
  <c r="F106" i="1" s="1"/>
  <c r="F29" i="17"/>
  <c r="F106" i="17" s="1"/>
  <c r="F17" i="5"/>
  <c r="F14" i="17"/>
  <c r="F91" i="17" s="1"/>
  <c r="F14" i="18"/>
  <c r="F91" i="18" s="1"/>
  <c r="F14" i="1"/>
  <c r="H29" i="5"/>
  <c r="H18" i="5" s="1"/>
  <c r="G29" i="5"/>
  <c r="G18" i="5" s="1"/>
  <c r="H31" i="5"/>
  <c r="H20" i="5" s="1"/>
  <c r="G31" i="5"/>
  <c r="G20" i="5" s="1"/>
  <c r="H28" i="5"/>
  <c r="G28" i="5"/>
  <c r="H30" i="5"/>
  <c r="H19" i="5" s="1"/>
  <c r="G30" i="5"/>
  <c r="G19" i="5" s="1"/>
  <c r="E10" i="1"/>
  <c r="E10" i="17"/>
  <c r="E10" i="18"/>
  <c r="E70" i="1"/>
  <c r="E70" i="17"/>
  <c r="E70" i="18"/>
  <c r="E25" i="1"/>
  <c r="E25" i="17"/>
  <c r="E25" i="18"/>
  <c r="E60" i="5"/>
  <c r="E61" i="5"/>
  <c r="E59" i="5"/>
  <c r="E12" i="18" l="1"/>
  <c r="E12" i="17"/>
  <c r="E89" i="17" s="1"/>
  <c r="F32" i="2"/>
  <c r="F91" i="1"/>
  <c r="F15" i="2" s="1"/>
  <c r="F47" i="2"/>
  <c r="E27" i="17"/>
  <c r="E104" i="17" s="1"/>
  <c r="E72" i="17"/>
  <c r="E149" i="17" s="1"/>
  <c r="E72" i="1"/>
  <c r="E12" i="1"/>
  <c r="E27" i="18"/>
  <c r="E104" i="18" s="1"/>
  <c r="E27" i="1"/>
  <c r="E72" i="18"/>
  <c r="E149" i="18" s="1"/>
  <c r="E89" i="18"/>
  <c r="E102" i="17"/>
  <c r="E147" i="17"/>
  <c r="E147" i="1"/>
  <c r="E87" i="17"/>
  <c r="E87" i="1"/>
  <c r="G29" i="17"/>
  <c r="G106" i="17" s="1"/>
  <c r="G29" i="18"/>
  <c r="G106" i="18" s="1"/>
  <c r="G29" i="1"/>
  <c r="G106" i="1" s="1"/>
  <c r="G74" i="18"/>
  <c r="G151" i="18" s="1"/>
  <c r="G74" i="17"/>
  <c r="G151" i="17" s="1"/>
  <c r="G74" i="1"/>
  <c r="G151" i="1" s="1"/>
  <c r="G17" i="5"/>
  <c r="G14" i="18"/>
  <c r="G91" i="18" s="1"/>
  <c r="G14" i="17"/>
  <c r="G91" i="17" s="1"/>
  <c r="G14" i="1"/>
  <c r="E102" i="18"/>
  <c r="E102" i="1"/>
  <c r="E147" i="18"/>
  <c r="E87" i="18"/>
  <c r="H29" i="18"/>
  <c r="H106" i="18" s="1"/>
  <c r="H29" i="1"/>
  <c r="H106" i="1" s="1"/>
  <c r="H29" i="17"/>
  <c r="H106" i="17" s="1"/>
  <c r="H74" i="18"/>
  <c r="H151" i="18" s="1"/>
  <c r="H74" i="1"/>
  <c r="H151" i="1" s="1"/>
  <c r="H74" i="17"/>
  <c r="H151" i="17" s="1"/>
  <c r="H17" i="5"/>
  <c r="H14" i="18"/>
  <c r="H91" i="18" s="1"/>
  <c r="H14" i="1"/>
  <c r="H14" i="17"/>
  <c r="H91" i="17" s="1"/>
  <c r="F10" i="1"/>
  <c r="F10" i="18"/>
  <c r="F10" i="17"/>
  <c r="F25" i="17"/>
  <c r="F25" i="1"/>
  <c r="F25" i="18"/>
  <c r="F70" i="1"/>
  <c r="F70" i="18"/>
  <c r="F70" i="17"/>
  <c r="F61" i="5"/>
  <c r="F59" i="5"/>
  <c r="F60" i="5"/>
  <c r="F12" i="18" l="1"/>
  <c r="F12" i="17"/>
  <c r="E104" i="1"/>
  <c r="E112" i="1" s="1"/>
  <c r="E89" i="1"/>
  <c r="E149" i="1"/>
  <c r="E157" i="1" s="1"/>
  <c r="H91" i="1"/>
  <c r="H15" i="2" s="1"/>
  <c r="G91" i="1"/>
  <c r="G15" i="2" s="1"/>
  <c r="G47" i="2"/>
  <c r="H32" i="2"/>
  <c r="H47" i="2"/>
  <c r="G32" i="2"/>
  <c r="E43" i="2"/>
  <c r="E80" i="2" s="1"/>
  <c r="E28" i="2"/>
  <c r="E72" i="2" s="1"/>
  <c r="E11" i="2"/>
  <c r="E64" i="2" s="1"/>
  <c r="E30" i="2"/>
  <c r="E73" i="2" s="1"/>
  <c r="E45" i="2"/>
  <c r="E81" i="2" s="1"/>
  <c r="E20" i="18"/>
  <c r="E80" i="1"/>
  <c r="E80" i="18"/>
  <c r="E20" i="1"/>
  <c r="E35" i="1"/>
  <c r="E35" i="18"/>
  <c r="E20" i="17"/>
  <c r="E80" i="17"/>
  <c r="E35" i="17"/>
  <c r="F72" i="1"/>
  <c r="F27" i="1"/>
  <c r="F89" i="17"/>
  <c r="F12" i="1"/>
  <c r="F72" i="17"/>
  <c r="F149" i="17" s="1"/>
  <c r="F72" i="18"/>
  <c r="F149" i="18" s="1"/>
  <c r="F27" i="18"/>
  <c r="F104" i="18" s="1"/>
  <c r="F27" i="17"/>
  <c r="F104" i="17" s="1"/>
  <c r="F89" i="18"/>
  <c r="F147" i="1"/>
  <c r="F102" i="1"/>
  <c r="F87" i="17"/>
  <c r="F87" i="1"/>
  <c r="H10" i="17"/>
  <c r="H10" i="1"/>
  <c r="H10" i="18"/>
  <c r="H70" i="18"/>
  <c r="H70" i="17"/>
  <c r="H70" i="1"/>
  <c r="H25" i="17"/>
  <c r="H25" i="1"/>
  <c r="H25" i="18"/>
  <c r="G10" i="17"/>
  <c r="G10" i="18"/>
  <c r="G10" i="1"/>
  <c r="G70" i="17"/>
  <c r="G70" i="1"/>
  <c r="G70" i="18"/>
  <c r="G25" i="17"/>
  <c r="G25" i="1"/>
  <c r="G25" i="18"/>
  <c r="E112" i="18"/>
  <c r="E97" i="17"/>
  <c r="E157" i="17"/>
  <c r="E112" i="17"/>
  <c r="F147" i="17"/>
  <c r="F147" i="18"/>
  <c r="F102" i="18"/>
  <c r="F102" i="17"/>
  <c r="F87" i="18"/>
  <c r="E97" i="18"/>
  <c r="E157" i="18"/>
  <c r="H61" i="5"/>
  <c r="G60" i="5"/>
  <c r="G59" i="5"/>
  <c r="G61" i="5"/>
  <c r="H60" i="5"/>
  <c r="H59" i="5"/>
  <c r="G12" i="18" l="1"/>
  <c r="H12" i="18"/>
  <c r="G12" i="17"/>
  <c r="H12" i="17"/>
  <c r="E13" i="2"/>
  <c r="E65" i="2" s="1"/>
  <c r="E97" i="1"/>
  <c r="F149" i="1"/>
  <c r="F104" i="1"/>
  <c r="F89" i="1"/>
  <c r="F11" i="2"/>
  <c r="F64" i="2" s="1"/>
  <c r="F43" i="2"/>
  <c r="F80" i="2" s="1"/>
  <c r="F28" i="2"/>
  <c r="F72" i="2" s="1"/>
  <c r="F45" i="2"/>
  <c r="F81" i="2" s="1"/>
  <c r="F30" i="2"/>
  <c r="F73" i="2" s="1"/>
  <c r="F157" i="18"/>
  <c r="F20" i="17"/>
  <c r="F20" i="18"/>
  <c r="F35" i="18"/>
  <c r="F20" i="1"/>
  <c r="F35" i="1"/>
  <c r="F157" i="17"/>
  <c r="F35" i="17"/>
  <c r="F80" i="18"/>
  <c r="F80" i="17"/>
  <c r="F80" i="1"/>
  <c r="G27" i="1"/>
  <c r="G72" i="18"/>
  <c r="G149" i="18" s="1"/>
  <c r="G72" i="17"/>
  <c r="G149" i="17" s="1"/>
  <c r="G89" i="18"/>
  <c r="H27" i="18"/>
  <c r="H104" i="18" s="1"/>
  <c r="H27" i="17"/>
  <c r="H104" i="17" s="1"/>
  <c r="H72" i="17"/>
  <c r="H149" i="17" s="1"/>
  <c r="H89" i="18"/>
  <c r="H89" i="17"/>
  <c r="G27" i="18"/>
  <c r="G104" i="18" s="1"/>
  <c r="G27" i="17"/>
  <c r="G104" i="17" s="1"/>
  <c r="G72" i="1"/>
  <c r="G12" i="1"/>
  <c r="G89" i="17"/>
  <c r="H27" i="1"/>
  <c r="H72" i="1"/>
  <c r="H72" i="18"/>
  <c r="H149" i="18" s="1"/>
  <c r="H12" i="1"/>
  <c r="G102" i="1"/>
  <c r="G147" i="18"/>
  <c r="G147" i="17"/>
  <c r="G87" i="18"/>
  <c r="H102" i="18"/>
  <c r="H102" i="17"/>
  <c r="H147" i="17"/>
  <c r="H87" i="18"/>
  <c r="H87" i="17"/>
  <c r="F112" i="17"/>
  <c r="G102" i="18"/>
  <c r="G102" i="17"/>
  <c r="G147" i="1"/>
  <c r="G87" i="1"/>
  <c r="G87" i="17"/>
  <c r="H102" i="1"/>
  <c r="H147" i="1"/>
  <c r="H147" i="18"/>
  <c r="H87" i="1"/>
  <c r="F97" i="18"/>
  <c r="F112" i="18"/>
  <c r="F97" i="17"/>
  <c r="F112" i="1" l="1"/>
  <c r="F157" i="1"/>
  <c r="F13" i="2"/>
  <c r="F65" i="2" s="1"/>
  <c r="F97" i="1"/>
  <c r="H89" i="1"/>
  <c r="H104" i="1"/>
  <c r="H149" i="1"/>
  <c r="H157" i="1" s="1"/>
  <c r="G149" i="1"/>
  <c r="G157" i="1" s="1"/>
  <c r="G104" i="1"/>
  <c r="G89" i="1"/>
  <c r="H11" i="2"/>
  <c r="H64" i="2" s="1"/>
  <c r="G28" i="2"/>
  <c r="G72" i="2" s="1"/>
  <c r="G11" i="2"/>
  <c r="G64" i="2" s="1"/>
  <c r="H28" i="2"/>
  <c r="H72" i="2" s="1"/>
  <c r="H43" i="2"/>
  <c r="H80" i="2" s="1"/>
  <c r="G43" i="2"/>
  <c r="G80" i="2" s="1"/>
  <c r="G30" i="2"/>
  <c r="G73" i="2" s="1"/>
  <c r="H30" i="2"/>
  <c r="H73" i="2" s="1"/>
  <c r="H45" i="2"/>
  <c r="H81" i="2" s="1"/>
  <c r="G45" i="2"/>
  <c r="G81" i="2" s="1"/>
  <c r="H80" i="17"/>
  <c r="G157" i="17"/>
  <c r="G20" i="17"/>
  <c r="G80" i="18"/>
  <c r="H157" i="18"/>
  <c r="G35" i="1"/>
  <c r="H20" i="1"/>
  <c r="H35" i="1"/>
  <c r="G20" i="1"/>
  <c r="G35" i="18"/>
  <c r="H20" i="18"/>
  <c r="H157" i="17"/>
  <c r="H35" i="18"/>
  <c r="G20" i="18"/>
  <c r="G80" i="17"/>
  <c r="H80" i="18"/>
  <c r="H80" i="1"/>
  <c r="G80" i="1"/>
  <c r="G35" i="17"/>
  <c r="H20" i="17"/>
  <c r="H35" i="17"/>
  <c r="G157" i="18"/>
  <c r="G112" i="17"/>
  <c r="H97" i="17"/>
  <c r="H112" i="17"/>
  <c r="G97" i="17"/>
  <c r="G112" i="18"/>
  <c r="H97" i="18"/>
  <c r="H112" i="18"/>
  <c r="G97" i="18"/>
  <c r="H112" i="1" l="1"/>
  <c r="G112" i="1"/>
  <c r="G97" i="1"/>
  <c r="H13" i="2"/>
  <c r="H65" i="2" s="1"/>
  <c r="G13" i="2"/>
  <c r="G65" i="2" s="1"/>
  <c r="H97" i="1"/>
  <c r="E62" i="2" l="1"/>
  <c r="H53" i="2"/>
  <c r="H78" i="2"/>
  <c r="H62" i="2"/>
  <c r="E78" i="2"/>
  <c r="E70" i="2"/>
  <c r="G53" i="2"/>
  <c r="G78" i="2"/>
  <c r="G62" i="2"/>
  <c r="G38" i="2"/>
  <c r="G70" i="2"/>
  <c r="H38" i="2"/>
  <c r="H70" i="2"/>
  <c r="F62" i="2"/>
  <c r="F70" i="2"/>
  <c r="F78" i="2"/>
  <c r="H74" i="2" l="1"/>
  <c r="H75" i="2" s="1"/>
  <c r="G58" i="2"/>
  <c r="G59" i="2"/>
  <c r="H59" i="2"/>
  <c r="H58" i="2"/>
  <c r="G74" i="2"/>
  <c r="G75" i="2" s="1"/>
  <c r="G82" i="2"/>
  <c r="G83" i="2" s="1"/>
  <c r="H82" i="2"/>
  <c r="H83" i="2" s="1"/>
  <c r="E21" i="2" l="1"/>
  <c r="E82" i="2"/>
  <c r="E53" i="2"/>
  <c r="E74" i="2"/>
  <c r="E38" i="2"/>
  <c r="E75" i="2" l="1"/>
  <c r="E58" i="2"/>
  <c r="E83" i="2"/>
  <c r="E59" i="2"/>
  <c r="F74" i="2"/>
  <c r="F38" i="2"/>
  <c r="F66" i="2"/>
  <c r="F21" i="2"/>
  <c r="F82" i="2"/>
  <c r="F53" i="2"/>
  <c r="E57" i="2"/>
  <c r="E66" i="2"/>
  <c r="F67" i="2" l="1"/>
  <c r="F57" i="2"/>
  <c r="G66" i="2"/>
  <c r="G21" i="2"/>
  <c r="H21" i="2"/>
  <c r="E67" i="2"/>
  <c r="F83" i="2"/>
  <c r="F59" i="2"/>
  <c r="F75" i="2"/>
  <c r="F58" i="2"/>
  <c r="H57" i="2" l="1"/>
  <c r="H66" i="2"/>
  <c r="G67" i="2"/>
  <c r="G57" i="2"/>
  <c r="H67" i="2" l="1"/>
</calcChain>
</file>

<file path=xl/sharedStrings.xml><?xml version="1.0" encoding="utf-8"?>
<sst xmlns="http://schemas.openxmlformats.org/spreadsheetml/2006/main" count="1109" uniqueCount="147">
  <si>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</si>
  <si>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</si>
  <si>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</si>
  <si>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</si>
  <si>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</si>
  <si>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</si>
  <si>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</si>
  <si>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</si>
  <si>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</si>
  <si>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</si>
  <si>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</si>
  <si>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</si>
  <si>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</si>
  <si>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</si>
  <si>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</si>
  <si>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</si>
  <si>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</si>
  <si>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</si>
  <si>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</si>
  <si>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</si>
  <si>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</si>
  <si>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</si>
  <si>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</si>
  <si>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</si>
  <si>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</si>
  <si>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</si>
  <si>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</si>
  <si>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</si>
  <si>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</si>
  <si>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</si>
  <si>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</si>
  <si>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</si>
  <si>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</si>
  <si>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</si>
  <si>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</si>
  <si>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</si>
  <si>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</si>
  <si>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</si>
  <si>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</si>
  <si>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</si>
  <si>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</si>
  <si>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</si>
  <si>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</si>
  <si>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</si>
  <si>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</si>
  <si>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</si>
  <si>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</si>
  <si>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</si>
  <si>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</si>
  <si>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</si>
  <si>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</si>
  <si>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</si>
  <si>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</si>
  <si>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</si>
  <si>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</si>
  <si>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</si>
  <si>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</si>
  <si>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</si>
  <si>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</si>
  <si>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</si>
  <si>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</si>
  <si>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</si>
  <si>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</si>
  <si>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</si>
  <si>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</si>
  <si>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</si>
  <si>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</si>
  <si>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Frontier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</si>
  <si>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</si>
  <si>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</si>
  <si>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</si>
  <si>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</si>
  <si>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</si>
  <si>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</si>
  <si>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</si>
  <si>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</si>
  <si>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</si>
  <si>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</si>
  <si>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</si>
  <si>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</si>
  <si>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</si>
  <si>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</si>
  <si>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</si>
  <si>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</si>
  <si>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</si>
  <si>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</si>
  <si>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</si>
  <si>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</si>
  <si>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</si>
  <si>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</si>
  <si>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</si>
  <si>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</si>
  <si>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</si>
  <si>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</si>
  <si>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</si>
  <si>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>All prices are exclusive of GST</t>
  </si>
  <si>
    <t>All prices for 2009-10, 2010-11, 2011-12 and 2012-13 are actuals. 2013-14 and 2014-15 are estimates</t>
  </si>
  <si>
    <t>Network prices are based on the AER determination adjusted for ACT outcomes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</si>
  <si>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</si>
  <si>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</si>
  <si>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</si>
  <si>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</si>
  <si>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</si>
  <si>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</si>
  <si>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</si>
  <si>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</si>
  <si>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</si>
  <si>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</si>
  <si>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</si>
  <si>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</si>
  <si>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</si>
  <si>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</si>
  <si>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</si>
  <si>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blank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</si>
  <si>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</si>
  <si>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</si>
  <si>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</si>
  <si>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</si>
  <si>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</si>
  <si>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</si>
  <si>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</si>
  <si>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</si>
  <si>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</si>
  <si>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</si>
  <si>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</si>
  <si>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</si>
  <si>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</si>
  <si>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</si>
  <si>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</si>
  <si>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>ActewAGL</t>
  </si>
  <si>
    <t>ACT</t>
  </si>
  <si>
    <t>Transgrid</t>
  </si>
  <si>
    <t>AER</t>
  </si>
  <si>
    <t>Greenhouse gas abatement scheme</t>
  </si>
  <si>
    <t>Energy Savings</t>
  </si>
  <si>
    <t>All prices are nominal</t>
  </si>
  <si>
    <t>$/pa</t>
  </si>
  <si>
    <t>$/kWh</t>
  </si>
  <si>
    <t>$/MWh</t>
  </si>
  <si>
    <t>Distributors</t>
  </si>
  <si>
    <t>Distributor 1</t>
  </si>
  <si>
    <t>Distributor 2</t>
  </si>
  <si>
    <t>Distributor 3</t>
  </si>
  <si>
    <t>Distributor 4</t>
  </si>
  <si>
    <t>Distributor 5</t>
  </si>
  <si>
    <t>For all projected years the AER multiplied the TUOS by (1+inflation) x (1-X factor) /(1+ growth factor) the AEMC has copied this methodology utilising AEMC model consistent inflation and consumption</t>
  </si>
  <si>
    <t>For all projected years the AER multiplied the DUOS by (1+inflation) x (1-X factor) the AEMC has copied this methodology utilising AEMC model consistent inflation.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</si>
</sst>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* #,##0.0000_-;\-* #,##0.0000_-;_-* &quot;-&quot;??_-;_-@_-"/>
    <numFmt numFmtId="169" formatCode="_-* #,##0.000000_-;\-* #,##0.000000_-;_-* &quot;-&quot;??_-;_-@_-"/>
    <numFmt numFmtId="170" formatCode="_-* #,##0.0_-;\-* #,##0.0_-;_-* &quot;-&quot;??_-;_-@_-"/>
    <numFmt numFmtId="171" formatCode="#,##0.00_ ;\-#,##0.00\ "/>
    <numFmt numFmtId="172" formatCode="0.000000"/>
    <numFmt numFmtId="173" formatCode="&quot;$&quot;#,##0.00"/>
    <numFmt numFmtId="174" formatCode="_-* #,##0.000_-;\-* #,##0.000_-;_-* &quot;-&quot;??_-;_-@_-"/>
    <numFmt numFmtId="175" formatCode="#,##0.00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i/>
      <sz val="8"/>
      <color rgb="FFFF0000"/>
      <name val="Book Antiqua"/>
      <family val="1"/>
    </font>
    <font>
      <sz val="11"/>
      <color theme="3" tint="0.39997558519241921"/>
      <name val="Book Antiqua"/>
      <family val="1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  <border>
      <left style="thin">
        <color rgb="FFC0504D"/>
      </left>
      <right style="thin">
        <color rgb="FFC0504D"/>
      </right>
      <top style="thin">
        <color rgb="FFC0504D"/>
      </top>
      <bottom style="thin">
        <color rgb="FFC0504D"/>
      </bottom>
      <diagonal/>
    </border>
    <border>
      <left style="thin">
        <color theme="5"/>
      </left>
      <right/>
      <top/>
      <bottom style="thin">
        <color rgb="FFC0504D"/>
      </bottom>
      <diagonal/>
    </border>
    <border>
      <left/>
      <right/>
      <top/>
      <bottom style="thin">
        <color rgb="FFC0504D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61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8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8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69" fontId="22" fillId="0" borderId="0" xfId="5" applyNumberFormat="1" applyFont="1"/>
    <xf numFmtId="0" fontId="37" fillId="0" borderId="0" xfId="5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69" fontId="37" fillId="0" borderId="0" xfId="1" applyNumberFormat="1" applyFont="1"/>
    <xf numFmtId="172" fontId="37" fillId="0" borderId="0" xfId="5" applyNumberFormat="1" applyFont="1"/>
    <xf numFmtId="169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1" fontId="22" fillId="0" borderId="4" xfId="1" applyNumberFormat="1" applyFont="1" applyBorder="1"/>
    <xf numFmtId="171" fontId="22" fillId="0" borderId="9" xfId="1" applyNumberFormat="1" applyFont="1" applyBorder="1"/>
    <xf numFmtId="171" fontId="22" fillId="0" borderId="10" xfId="1" applyNumberFormat="1" applyFont="1" applyBorder="1"/>
    <xf numFmtId="171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69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0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0" fontId="0" fillId="0" borderId="0" xfId="0" applyNumberFormat="1"/>
    <xf numFmtId="170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69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Border="1"/>
    <xf numFmtId="173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43" fontId="21" fillId="0" borderId="0" xfId="5" applyNumberFormat="1" applyFont="1"/>
    <xf numFmtId="174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1" fontId="37" fillId="0" borderId="10" xfId="1" applyNumberFormat="1" applyFont="1" applyBorder="1"/>
    <xf numFmtId="171" fontId="37" fillId="0" borderId="0" xfId="1" applyNumberFormat="1" applyFont="1" applyBorder="1"/>
    <xf numFmtId="10" fontId="22" fillId="0" borderId="0" xfId="2" applyNumberFormat="1" applyFont="1" applyBorder="1"/>
    <xf numFmtId="0" fontId="42" fillId="0" borderId="0" xfId="0" applyFont="1"/>
    <xf numFmtId="167" fontId="42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72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2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0" fontId="22" fillId="14" borderId="12" xfId="2" applyNumberFormat="1" applyFont="1" applyFill="1" applyBorder="1" applyProtection="1">
      <protection locked="0"/>
    </xf>
    <xf numFmtId="10" fontId="43" fillId="14" borderId="12" xfId="2" applyNumberFormat="1" applyFont="1" applyFill="1" applyBorder="1" applyProtection="1">
      <protection locked="0"/>
    </xf>
    <xf numFmtId="4" fontId="22" fillId="14" borderId="12" xfId="3" applyNumberFormat="1" applyFont="1" applyFill="1" applyBorder="1" applyProtection="1">
      <protection locked="0"/>
    </xf>
    <xf numFmtId="175" fontId="22" fillId="14" borderId="12" xfId="3" applyNumberFormat="1" applyFont="1" applyFill="1" applyBorder="1" applyProtection="1">
      <protection locked="0"/>
    </xf>
    <xf numFmtId="9" fontId="22" fillId="14" borderId="12" xfId="3" applyNumberFormat="1" applyFont="1" applyFill="1" applyBorder="1" applyProtection="1">
      <protection locked="0"/>
    </xf>
    <xf numFmtId="44" fontId="22" fillId="17" borderId="20" xfId="3" applyNumberFormat="1" applyFont="1" applyFill="1" applyBorder="1" applyProtection="1">
      <protection locked="0"/>
    </xf>
    <xf numFmtId="4" fontId="22" fillId="17" borderId="20" xfId="3" applyNumberFormat="1" applyFont="1" applyFill="1" applyBorder="1" applyProtection="1">
      <protection locked="0"/>
    </xf>
    <xf numFmtId="175" fontId="22" fillId="17" borderId="20" xfId="3" applyNumberFormat="1" applyFont="1" applyFill="1" applyBorder="1" applyProtection="1">
      <protection locked="0"/>
    </xf>
    <xf numFmtId="167" fontId="22" fillId="12" borderId="7" xfId="1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>
      <alignment horizontal="left" indent="1"/>
    </xf>
    <xf numFmtId="167" fontId="22" fillId="18" borderId="7" xfId="1" applyNumberFormat="1" applyFont="1" applyFill="1" applyBorder="1"/>
    <xf numFmtId="43" fontId="22" fillId="12" borderId="12" xfId="3" applyNumberFormat="1" applyFont="1" applyFill="1" applyBorder="1" applyAlignment="1">
      <alignment horizontal="left" indent="1"/>
    </xf>
    <xf numFmtId="43" fontId="28" fillId="12" borderId="2" xfId="4" applyNumberFormat="1" applyFont="1" applyFill="1" applyAlignment="1" applyProtection="1">
      <alignment horizontal="left" indent="1"/>
      <protection locked="0"/>
    </xf>
    <xf numFmtId="43" fontId="22" fillId="17" borderId="20" xfId="3" applyNumberFormat="1" applyFont="1" applyFill="1" applyBorder="1" applyAlignment="1">
      <alignment horizontal="left" indent="1"/>
    </xf>
    <xf numFmtId="171" fontId="37" fillId="0" borderId="10" xfId="1" applyNumberFormat="1" applyFont="1" applyFill="1" applyBorder="1"/>
    <xf numFmtId="171" fontId="37" fillId="0" borderId="0" xfId="1" applyNumberFormat="1" applyFont="1" applyFill="1" applyBorder="1"/>
    <xf numFmtId="43" fontId="22" fillId="0" borderId="21" xfId="3" applyNumberFormat="1" applyFont="1" applyFill="1" applyBorder="1" applyAlignment="1" applyProtection="1">
      <alignment horizontal="left" indent="1"/>
      <protection locked="0"/>
    </xf>
    <xf numFmtId="43" fontId="22" fillId="0" borderId="22" xfId="3" applyNumberFormat="1" applyFont="1" applyFill="1" applyBorder="1" applyAlignment="1" applyProtection="1">
      <alignment horizontal="left" indent="1"/>
      <protection locked="0"/>
    </xf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PR0029%20-%20Pricing%20Trends%20Report%202012%20-%20Modelling/EPR0029%20-%20Models%2013-01-24/EPR0029%202012%20Pricing%20Trends%20-%20model%20-%20ACT%202013-01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 Global"/>
      <sheetName val="Input Frontier"/>
      <sheetName val="Input General"/>
      <sheetName val="Calc (Jurisdiction)"/>
      <sheetName val="blank"/>
      <sheetName val="blank "/>
      <sheetName val="Calc (Market Planning Case)"/>
      <sheetName val="Calc (Market Slow Rate)"/>
      <sheetName val="Output"/>
      <sheetName val="Graphs"/>
      <sheetName val="Tables for document"/>
    </sheetNames>
    <sheetDataSet>
      <sheetData sheetId="0"/>
      <sheetData sheetId="1">
        <row r="15">
          <cell r="G15">
            <v>2.5000000000000001E-2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9"/>
  <sheetViews>
    <sheetView topLeftCell="A16" zoomScaleNormal="100" workbookViewId="0">
      <selection activeCell="A34" sqref="A34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1</v>
      </c>
      <c r="B1" s="67" t="str">
        <f ca="1">LEFT(RIGHT(CELL("filename",B2),LEN(CELL("filename",B2))-SEARCH("[",CELL("filename",B2))),SEARCH(".",RIGHT(CELL("filename",B2),LEN(CELL("filename",B2))-SEARCH("[",CELL("filename",B2))))-1)</f>
        <v>2012 Pricing Trends - model - ACT</v>
      </c>
      <c r="C1" s="23"/>
    </row>
    <row r="2" spans="1:7" s="22" customFormat="1" ht="18.75" x14ac:dyDescent="0.3">
      <c r="B2" s="24" t="str">
        <f ca="1">RIGHT(CELL("filename",B2),LEN(CELL("filename",B2))-SEARCH("]",CELL("filename",B2)))</f>
        <v>Index</v>
      </c>
      <c r="C2" s="25"/>
    </row>
    <row r="3" spans="1:7" s="22" customFormat="1" ht="13.5" x14ac:dyDescent="0.25"/>
    <row r="4" spans="1:7" s="22" customFormat="1" ht="15" x14ac:dyDescent="0.3">
      <c r="B4" s="26"/>
      <c r="C4" s="26"/>
      <c r="D4" s="26"/>
      <c r="E4" s="26"/>
      <c r="F4" s="26"/>
      <c r="G4" s="26"/>
    </row>
    <row r="6" spans="1:7" ht="18.75" x14ac:dyDescent="0.3">
      <c r="A6" s="16" t="s">
        <v>44</v>
      </c>
    </row>
    <row r="7" spans="1:7" x14ac:dyDescent="0.3">
      <c r="A7" s="17" t="s">
        <v>45</v>
      </c>
    </row>
    <row r="8" spans="1:7" x14ac:dyDescent="0.3">
      <c r="A8" s="17" t="s">
        <v>46</v>
      </c>
    </row>
    <row r="9" spans="1:7" x14ac:dyDescent="0.3">
      <c r="A9" s="17" t="s">
        <v>47</v>
      </c>
    </row>
    <row r="10" spans="1:7" x14ac:dyDescent="0.3">
      <c r="A10" s="17" t="s">
        <v>48</v>
      </c>
    </row>
    <row r="11" spans="1:7" x14ac:dyDescent="0.3">
      <c r="A11" s="17" t="s">
        <v>106</v>
      </c>
    </row>
    <row r="12" spans="1:7" x14ac:dyDescent="0.3">
      <c r="A12" s="17" t="s">
        <v>107</v>
      </c>
    </row>
    <row r="15" spans="1:7" ht="18.75" x14ac:dyDescent="0.3">
      <c r="A15" s="16" t="s">
        <v>50</v>
      </c>
      <c r="B15" s="17" t="s">
        <v>51</v>
      </c>
      <c r="C15" s="17" t="s">
        <v>53</v>
      </c>
      <c r="D15" s="17" t="s">
        <v>52</v>
      </c>
    </row>
    <row r="16" spans="1:7" x14ac:dyDescent="0.3">
      <c r="A16" s="17">
        <v>1</v>
      </c>
      <c r="B16" s="17" t="s">
        <v>128</v>
      </c>
      <c r="C16" s="68">
        <v>41165</v>
      </c>
      <c r="D16" s="17" t="s">
        <v>54</v>
      </c>
    </row>
    <row r="20" spans="1:9" ht="19.5" thickBot="1" x14ac:dyDescent="0.35">
      <c r="A20" s="16" t="s">
        <v>49</v>
      </c>
    </row>
    <row r="21" spans="1:9" ht="17.25" thickBot="1" x14ac:dyDescent="0.35">
      <c r="A21" s="155" t="s">
        <v>95</v>
      </c>
      <c r="B21" s="156"/>
      <c r="C21" s="156"/>
      <c r="D21" s="156"/>
      <c r="E21" s="156"/>
      <c r="F21" s="156"/>
      <c r="G21" s="156"/>
      <c r="H21" s="156"/>
      <c r="I21" s="157"/>
    </row>
    <row r="22" spans="1:9" ht="17.25" thickBot="1" x14ac:dyDescent="0.35">
      <c r="A22" s="155" t="s">
        <v>96</v>
      </c>
      <c r="B22" s="156"/>
      <c r="C22" s="156"/>
      <c r="D22" s="156"/>
      <c r="E22" s="156"/>
      <c r="F22" s="156"/>
      <c r="G22" s="156"/>
      <c r="H22" s="156"/>
      <c r="I22" s="157"/>
    </row>
    <row r="23" spans="1:9" ht="17.25" thickBot="1" x14ac:dyDescent="0.35">
      <c r="A23" s="155" t="s">
        <v>97</v>
      </c>
      <c r="B23" s="156"/>
      <c r="C23" s="156"/>
      <c r="D23" s="156"/>
      <c r="E23" s="156"/>
      <c r="F23" s="156"/>
      <c r="G23" s="156"/>
      <c r="H23" s="156"/>
      <c r="I23" s="157"/>
    </row>
    <row r="24" spans="1:9" ht="17.25" thickBot="1" x14ac:dyDescent="0.35">
      <c r="A24" s="155" t="s">
        <v>135</v>
      </c>
      <c r="B24" s="156"/>
      <c r="C24" s="156"/>
      <c r="D24" s="156"/>
      <c r="E24" s="156"/>
      <c r="F24" s="156"/>
      <c r="G24" s="156"/>
      <c r="H24" s="156"/>
      <c r="I24" s="157"/>
    </row>
    <row r="25" spans="1:9" ht="17.25" thickBot="1" x14ac:dyDescent="0.35">
      <c r="A25" s="155" t="s">
        <v>104</v>
      </c>
      <c r="B25" s="156"/>
      <c r="C25" s="156"/>
      <c r="D25" s="156"/>
      <c r="E25" s="156"/>
      <c r="F25" s="156"/>
      <c r="G25" s="156"/>
      <c r="H25" s="156"/>
      <c r="I25" s="157"/>
    </row>
    <row r="26" spans="1:9" ht="17.25" thickBot="1" x14ac:dyDescent="0.35">
      <c r="A26" s="155" t="s">
        <v>105</v>
      </c>
      <c r="B26" s="156"/>
      <c r="C26" s="156"/>
      <c r="D26" s="156"/>
      <c r="E26" s="156"/>
      <c r="F26" s="156"/>
      <c r="G26" s="156"/>
      <c r="H26" s="156"/>
      <c r="I26" s="157"/>
    </row>
    <row r="27" spans="1:9" ht="33.75" customHeight="1" thickBot="1" x14ac:dyDescent="0.35">
      <c r="A27" s="158" t="s">
        <v>145</v>
      </c>
      <c r="B27" s="159"/>
      <c r="C27" s="159"/>
      <c r="D27" s="159"/>
      <c r="E27" s="159"/>
      <c r="F27" s="159"/>
      <c r="G27" s="159"/>
      <c r="H27" s="159"/>
      <c r="I27" s="160"/>
    </row>
    <row r="28" spans="1:9" ht="35.25" customHeight="1" thickBot="1" x14ac:dyDescent="0.35">
      <c r="A28" s="158" t="s">
        <v>146</v>
      </c>
      <c r="B28" s="159"/>
      <c r="C28" s="159"/>
      <c r="D28" s="159"/>
      <c r="E28" s="159"/>
      <c r="F28" s="159"/>
      <c r="G28" s="159"/>
      <c r="H28" s="159"/>
      <c r="I28" s="160"/>
    </row>
    <row r="29" spans="1:9" ht="17.25" thickBot="1" x14ac:dyDescent="0.35">
      <c r="A29" s="155" t="str">
        <f>Scheme2 &amp; " is always included in total retail costs."</f>
        <v>Energy Savings is always included in total retail costs.</v>
      </c>
      <c r="B29" s="156"/>
      <c r="C29" s="156"/>
      <c r="D29" s="156"/>
      <c r="E29" s="156"/>
      <c r="F29" s="156"/>
      <c r="G29" s="156"/>
      <c r="H29" s="156"/>
      <c r="I29" s="157"/>
    </row>
  </sheetData>
  <sheetProtection password="D9A8" sheet="1" objects="1" scenarios="1"/>
  <mergeCells count="9">
    <mergeCell ref="A26:I26"/>
    <mergeCell ref="A27:I27"/>
    <mergeCell ref="A28:I28"/>
    <mergeCell ref="A29:I29"/>
    <mergeCell ref="A21:I21"/>
    <mergeCell ref="A22:I22"/>
    <mergeCell ref="A23:I2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3" sqref="D13"/>
    </sheetView>
  </sheetViews>
  <sheetFormatPr defaultColWidth="9.140625" defaultRowHeight="13.5" x14ac:dyDescent="0.25"/>
  <cols>
    <col min="1" max="1" width="61.140625" style="63" bestFit="1" customWidth="1"/>
    <col min="2" max="2" width="18.85546875" style="63" bestFit="1" customWidth="1"/>
    <col min="3" max="3" width="10.5703125" style="63" customWidth="1"/>
    <col min="4" max="8" width="14.5703125" style="63" bestFit="1" customWidth="1"/>
    <col min="9" max="9" width="12" style="63" bestFit="1" customWidth="1"/>
    <col min="10" max="10" width="9.85546875" style="63" bestFit="1" customWidth="1"/>
    <col min="11" max="13" width="9.5703125" style="63" bestFit="1" customWidth="1"/>
    <col min="14" max="16384" width="9.140625" style="63"/>
  </cols>
  <sheetData>
    <row r="1" spans="1:9" s="22" customFormat="1" ht="23.25" x14ac:dyDescent="0.35">
      <c r="A1" s="22" t="s">
        <v>1</v>
      </c>
      <c r="B1" s="64" t="str">
        <f ca="1">Index!B1</f>
        <v>2012 Pricing Trends - model - ACT</v>
      </c>
      <c r="C1" s="23"/>
      <c r="I1" s="109" t="s">
        <v>31</v>
      </c>
    </row>
    <row r="2" spans="1:9" s="22" customFormat="1" ht="18.75" x14ac:dyDescent="0.3">
      <c r="B2" s="24" t="str">
        <f ca="1">RIGHT(CELL("filename",B2),LEN(CELL("filename",B2))-SEARCH("]",CELL("filename",B2)))</f>
        <v>Input Global</v>
      </c>
      <c r="C2" s="25"/>
      <c r="I2" s="70" t="s">
        <v>25</v>
      </c>
    </row>
    <row r="3" spans="1:9" s="22" customFormat="1" ht="16.5" x14ac:dyDescent="0.3">
      <c r="I3" s="71" t="s">
        <v>32</v>
      </c>
    </row>
    <row r="4" spans="1:9" s="22" customFormat="1" ht="15" x14ac:dyDescent="0.3">
      <c r="B4" s="26" t="s">
        <v>10</v>
      </c>
      <c r="C4" s="26" t="s">
        <v>8</v>
      </c>
      <c r="D4" s="26" t="s">
        <v>5</v>
      </c>
      <c r="E4" s="26" t="s">
        <v>4</v>
      </c>
      <c r="F4" s="26" t="s">
        <v>3</v>
      </c>
      <c r="G4" s="26" t="s">
        <v>58</v>
      </c>
      <c r="H4" s="26" t="s">
        <v>2</v>
      </c>
    </row>
    <row r="7" spans="1:9" ht="18.75" x14ac:dyDescent="0.3">
      <c r="A7" s="16" t="s">
        <v>139</v>
      </c>
      <c r="B7" s="63" t="s">
        <v>59</v>
      </c>
    </row>
    <row r="8" spans="1:9" s="34" customFormat="1" ht="16.5" x14ac:dyDescent="0.3">
      <c r="A8" s="34" t="s">
        <v>140</v>
      </c>
      <c r="B8" s="122" t="s">
        <v>129</v>
      </c>
    </row>
    <row r="9" spans="1:9" s="34" customFormat="1" ht="16.5" hidden="1" x14ac:dyDescent="0.3">
      <c r="A9" s="96" t="s">
        <v>141</v>
      </c>
      <c r="B9" s="122" t="s">
        <v>113</v>
      </c>
    </row>
    <row r="10" spans="1:9" s="34" customFormat="1" ht="16.5" hidden="1" x14ac:dyDescent="0.3">
      <c r="A10" s="96" t="s">
        <v>142</v>
      </c>
      <c r="B10" s="122" t="s">
        <v>113</v>
      </c>
    </row>
    <row r="11" spans="1:9" s="34" customFormat="1" ht="16.5" hidden="1" x14ac:dyDescent="0.3">
      <c r="A11" s="96" t="s">
        <v>143</v>
      </c>
      <c r="B11" s="122" t="s">
        <v>113</v>
      </c>
    </row>
    <row r="12" spans="1:9" s="34" customFormat="1" ht="16.5" hidden="1" x14ac:dyDescent="0.3">
      <c r="A12" s="96" t="s">
        <v>144</v>
      </c>
      <c r="B12" s="122" t="s">
        <v>113</v>
      </c>
    </row>
    <row r="13" spans="1:9" s="34" customFormat="1" ht="16.5" x14ac:dyDescent="0.3"/>
    <row r="14" spans="1:9" ht="18.75" x14ac:dyDescent="0.3">
      <c r="A14" s="16" t="s">
        <v>0</v>
      </c>
      <c r="F14" s="112"/>
    </row>
    <row r="15" spans="1:9" s="34" customFormat="1" ht="16.5" x14ac:dyDescent="0.3">
      <c r="A15" s="34" t="s">
        <v>61</v>
      </c>
      <c r="F15" s="43"/>
      <c r="G15" s="135">
        <v>2.5000000000000001E-2</v>
      </c>
    </row>
    <row r="17" spans="1:8" ht="18.75" x14ac:dyDescent="0.3">
      <c r="A17" s="16" t="s">
        <v>7</v>
      </c>
      <c r="B17" s="65"/>
      <c r="C17" s="65"/>
    </row>
    <row r="18" spans="1:8" s="34" customFormat="1" ht="16.5" x14ac:dyDescent="0.3">
      <c r="A18" s="34" t="str">
        <f>Dist1</f>
        <v>ActewAGL</v>
      </c>
      <c r="B18" s="122" t="s">
        <v>130</v>
      </c>
      <c r="C18" s="34" t="s">
        <v>14</v>
      </c>
      <c r="D18" s="125">
        <v>8156</v>
      </c>
      <c r="E18" s="125">
        <v>8156</v>
      </c>
      <c r="F18" s="125">
        <v>8156</v>
      </c>
      <c r="G18" s="125">
        <v>8156</v>
      </c>
      <c r="H18" s="125">
        <v>8156</v>
      </c>
    </row>
    <row r="19" spans="1:8" s="34" customFormat="1" ht="16.5" hidden="1" x14ac:dyDescent="0.3">
      <c r="A19" s="34" t="str">
        <f>Dist2</f>
        <v>blank</v>
      </c>
      <c r="B19" s="122"/>
      <c r="C19" s="34" t="s">
        <v>14</v>
      </c>
      <c r="D19" s="125"/>
      <c r="E19" s="125"/>
      <c r="F19" s="125"/>
      <c r="G19" s="125"/>
      <c r="H19" s="125"/>
    </row>
    <row r="20" spans="1:8" s="34" customFormat="1" ht="16.5" hidden="1" x14ac:dyDescent="0.3">
      <c r="A20" s="34" t="str">
        <f>Dist3</f>
        <v>blank</v>
      </c>
      <c r="B20" s="122"/>
      <c r="C20" s="34" t="s">
        <v>14</v>
      </c>
      <c r="D20" s="125"/>
      <c r="E20" s="125"/>
      <c r="F20" s="125"/>
      <c r="G20" s="125"/>
      <c r="H20" s="125"/>
    </row>
    <row r="21" spans="1:8" s="34" customFormat="1" ht="16.5" hidden="1" x14ac:dyDescent="0.3">
      <c r="A21" s="34" t="str">
        <f>Dist4</f>
        <v>blank</v>
      </c>
      <c r="B21" s="122"/>
      <c r="C21" s="34" t="s">
        <v>14</v>
      </c>
      <c r="D21" s="125"/>
      <c r="E21" s="125"/>
      <c r="F21" s="125"/>
      <c r="G21" s="125"/>
      <c r="H21" s="125"/>
    </row>
    <row r="22" spans="1:8" s="34" customFormat="1" ht="16.5" hidden="1" x14ac:dyDescent="0.3">
      <c r="A22" s="34" t="str">
        <f>Dist5</f>
        <v>blank</v>
      </c>
      <c r="B22" s="122"/>
      <c r="C22" s="34" t="s">
        <v>14</v>
      </c>
      <c r="D22" s="125"/>
      <c r="E22" s="125"/>
      <c r="F22" s="125"/>
      <c r="G22" s="125"/>
      <c r="H22" s="125"/>
    </row>
    <row r="24" spans="1:8" ht="18.75" x14ac:dyDescent="0.3">
      <c r="A24" s="16" t="s">
        <v>6</v>
      </c>
    </row>
    <row r="25" spans="1:8" s="34" customFormat="1" ht="16.5" x14ac:dyDescent="0.3">
      <c r="A25" s="34" t="str">
        <f>Dist1</f>
        <v>ActewAGL</v>
      </c>
      <c r="B25" s="122" t="s">
        <v>130</v>
      </c>
      <c r="C25" s="34" t="s">
        <v>9</v>
      </c>
      <c r="D25" s="125">
        <v>225645</v>
      </c>
      <c r="E25" s="125">
        <v>225645</v>
      </c>
      <c r="F25" s="125">
        <v>225645</v>
      </c>
      <c r="G25" s="125">
        <v>225645</v>
      </c>
      <c r="H25" s="125">
        <v>225645</v>
      </c>
    </row>
    <row r="26" spans="1:8" s="34" customFormat="1" ht="16.5" hidden="1" x14ac:dyDescent="0.3">
      <c r="A26" s="34" t="str">
        <f>Dist2</f>
        <v>blank</v>
      </c>
      <c r="B26" s="122"/>
      <c r="C26" s="34" t="s">
        <v>9</v>
      </c>
      <c r="D26" s="125"/>
      <c r="E26" s="125"/>
      <c r="F26" s="125"/>
      <c r="G26" s="125"/>
      <c r="H26" s="125"/>
    </row>
    <row r="27" spans="1:8" s="34" customFormat="1" ht="16.5" hidden="1" x14ac:dyDescent="0.3">
      <c r="A27" s="34" t="str">
        <f>Dist3</f>
        <v>blank</v>
      </c>
      <c r="B27" s="122"/>
      <c r="C27" s="34" t="s">
        <v>9</v>
      </c>
      <c r="D27" s="125"/>
      <c r="E27" s="125"/>
      <c r="F27" s="125"/>
      <c r="G27" s="125"/>
      <c r="H27" s="125"/>
    </row>
    <row r="28" spans="1:8" s="34" customFormat="1" ht="16.5" hidden="1" x14ac:dyDescent="0.3">
      <c r="A28" s="34" t="str">
        <f>Dist4</f>
        <v>blank</v>
      </c>
      <c r="B28" s="122"/>
      <c r="C28" s="34" t="s">
        <v>9</v>
      </c>
      <c r="D28" s="125"/>
      <c r="E28" s="125"/>
      <c r="F28" s="125"/>
      <c r="G28" s="125"/>
      <c r="H28" s="125"/>
    </row>
    <row r="29" spans="1:8" s="34" customFormat="1" ht="16.5" hidden="1" x14ac:dyDescent="0.3">
      <c r="A29" s="34" t="str">
        <f>Dist5</f>
        <v>blank</v>
      </c>
      <c r="B29" s="122"/>
      <c r="C29" s="34" t="s">
        <v>9</v>
      </c>
      <c r="D29" s="125"/>
      <c r="E29" s="125"/>
      <c r="F29" s="125"/>
      <c r="G29" s="125"/>
      <c r="H29" s="125"/>
    </row>
    <row r="30" spans="1:8" s="34" customFormat="1" ht="16.5" x14ac:dyDescent="0.3">
      <c r="A30" s="34" t="s">
        <v>55</v>
      </c>
      <c r="D30" s="99">
        <f>SUM(D25:D29)</f>
        <v>225645</v>
      </c>
      <c r="E30" s="99">
        <f t="shared" ref="E30:H30" si="0">SUM(E25:E29)</f>
        <v>225645</v>
      </c>
      <c r="F30" s="99">
        <f t="shared" si="0"/>
        <v>225645</v>
      </c>
      <c r="G30" s="99">
        <f t="shared" si="0"/>
        <v>225645</v>
      </c>
      <c r="H30" s="99">
        <f t="shared" si="0"/>
        <v>225645</v>
      </c>
    </row>
    <row r="32" spans="1:8" ht="18.75" x14ac:dyDescent="0.3">
      <c r="A32" s="16" t="s">
        <v>43</v>
      </c>
    </row>
    <row r="33" spans="1:13" s="34" customFormat="1" ht="16.5" x14ac:dyDescent="0.3">
      <c r="A33" s="34" t="str">
        <f>Dist1 &amp; " region"</f>
        <v>ActewAGL region</v>
      </c>
      <c r="B33" s="122" t="s">
        <v>130</v>
      </c>
      <c r="C33" s="34" t="s">
        <v>23</v>
      </c>
      <c r="D33" s="135">
        <v>5.3999999999999999E-2</v>
      </c>
      <c r="E33" s="135">
        <v>5.3999999999999999E-2</v>
      </c>
      <c r="F33" s="135">
        <v>5.3999999999999999E-2</v>
      </c>
      <c r="G33" s="135">
        <v>5.3999999999999999E-2</v>
      </c>
      <c r="H33" s="135">
        <v>5.3999999999999999E-2</v>
      </c>
      <c r="I33" s="63"/>
      <c r="J33" s="63"/>
      <c r="K33" s="63"/>
      <c r="L33" s="63"/>
      <c r="M33" s="55"/>
    </row>
    <row r="34" spans="1:13" s="34" customFormat="1" ht="16.5" hidden="1" x14ac:dyDescent="0.3">
      <c r="A34" s="34" t="str">
        <f>Dist2 &amp; " region"</f>
        <v>blank region</v>
      </c>
      <c r="B34" s="122"/>
      <c r="C34" s="34" t="s">
        <v>23</v>
      </c>
      <c r="D34" s="136"/>
      <c r="E34" s="136"/>
      <c r="F34" s="136"/>
      <c r="G34" s="136"/>
      <c r="H34" s="136"/>
      <c r="I34" s="63"/>
      <c r="J34" s="63"/>
      <c r="K34" s="63"/>
      <c r="L34" s="63"/>
      <c r="M34" s="55"/>
    </row>
    <row r="35" spans="1:13" s="34" customFormat="1" ht="16.5" hidden="1" x14ac:dyDescent="0.3">
      <c r="A35" s="34" t="str">
        <f>Dist3 &amp; " region"</f>
        <v>blank region</v>
      </c>
      <c r="B35" s="122"/>
      <c r="C35" s="34" t="s">
        <v>23</v>
      </c>
      <c r="D35" s="136"/>
      <c r="E35" s="136"/>
      <c r="F35" s="136"/>
      <c r="G35" s="136"/>
      <c r="H35" s="136"/>
      <c r="I35" s="63"/>
      <c r="J35" s="63"/>
      <c r="K35" s="63"/>
      <c r="L35" s="63"/>
      <c r="M35" s="55"/>
    </row>
    <row r="36" spans="1:13" s="34" customFormat="1" ht="16.5" hidden="1" x14ac:dyDescent="0.3">
      <c r="A36" s="34" t="str">
        <f>Dist4 &amp; " region"</f>
        <v>blank region</v>
      </c>
      <c r="B36" s="122"/>
      <c r="C36" s="34" t="s">
        <v>23</v>
      </c>
      <c r="D36" s="136"/>
      <c r="E36" s="136"/>
      <c r="F36" s="136"/>
      <c r="G36" s="136"/>
      <c r="H36" s="136"/>
      <c r="I36" s="63"/>
      <c r="J36" s="63"/>
      <c r="K36" s="63"/>
      <c r="L36" s="63"/>
      <c r="M36" s="55"/>
    </row>
    <row r="37" spans="1:13" s="34" customFormat="1" ht="16.5" hidden="1" x14ac:dyDescent="0.3">
      <c r="A37" s="34" t="str">
        <f>Dist5 &amp; " region"</f>
        <v>blank region</v>
      </c>
      <c r="B37" s="122"/>
      <c r="C37" s="34" t="s">
        <v>23</v>
      </c>
      <c r="D37" s="136"/>
      <c r="E37" s="136"/>
      <c r="F37" s="136"/>
      <c r="G37" s="136"/>
      <c r="H37" s="136"/>
      <c r="I37" s="63"/>
      <c r="J37" s="63"/>
      <c r="K37" s="63"/>
      <c r="L37" s="63"/>
      <c r="M37" s="55"/>
    </row>
    <row r="38" spans="1:13" s="34" customFormat="1" ht="16.5" x14ac:dyDescent="0.3">
      <c r="A38" s="41"/>
      <c r="D38" s="69"/>
      <c r="E38" s="69"/>
      <c r="F38" s="69"/>
      <c r="I38" s="63"/>
      <c r="J38" s="63"/>
      <c r="K38" s="63"/>
      <c r="L38" s="63"/>
    </row>
    <row r="39" spans="1:13" ht="18.75" x14ac:dyDescent="0.3">
      <c r="A39" s="16" t="s">
        <v>60</v>
      </c>
      <c r="F39" s="66"/>
    </row>
    <row r="40" spans="1:13" s="34" customFormat="1" ht="16.5" x14ac:dyDescent="0.3">
      <c r="A40" s="122" t="s">
        <v>131</v>
      </c>
      <c r="B40" s="122" t="s">
        <v>132</v>
      </c>
      <c r="C40" s="96" t="s">
        <v>23</v>
      </c>
      <c r="E40" s="137">
        <v>-5.6099999999999997E-2</v>
      </c>
      <c r="F40" s="137">
        <v>-5.6099999999999997E-2</v>
      </c>
      <c r="G40" s="137">
        <v>-5.6099999999999997E-2</v>
      </c>
      <c r="H40" s="138">
        <f>G40</f>
        <v>-5.6099999999999997E-2</v>
      </c>
      <c r="J40" s="96"/>
      <c r="K40" s="96"/>
      <c r="M40" s="43"/>
    </row>
    <row r="41" spans="1:13" s="34" customFormat="1" ht="16.5" x14ac:dyDescent="0.3">
      <c r="A41" s="34" t="str">
        <f>Dist1</f>
        <v>ActewAGL</v>
      </c>
      <c r="B41" s="122" t="s">
        <v>132</v>
      </c>
      <c r="C41" s="96" t="s">
        <v>23</v>
      </c>
      <c r="E41" s="137">
        <v>-0.04</v>
      </c>
      <c r="F41" s="137">
        <v>-5.4100000000000002E-2</v>
      </c>
      <c r="G41" s="137">
        <v>-5.4100000000000002E-2</v>
      </c>
      <c r="H41" s="138">
        <f>G41</f>
        <v>-5.4100000000000002E-2</v>
      </c>
      <c r="J41" s="96"/>
      <c r="K41" s="96"/>
    </row>
    <row r="42" spans="1:13" s="34" customFormat="1" ht="16.5" hidden="1" x14ac:dyDescent="0.3">
      <c r="A42" s="34" t="str">
        <f>Dist2</f>
        <v>blank</v>
      </c>
      <c r="B42" s="122" t="s">
        <v>132</v>
      </c>
      <c r="C42" s="96" t="s">
        <v>23</v>
      </c>
      <c r="E42" s="135"/>
      <c r="F42" s="135"/>
      <c r="G42" s="135"/>
      <c r="H42" s="135"/>
      <c r="J42" s="63"/>
      <c r="K42" s="63"/>
      <c r="M42" s="113"/>
    </row>
    <row r="43" spans="1:13" s="34" customFormat="1" ht="16.5" hidden="1" x14ac:dyDescent="0.3">
      <c r="A43" s="34" t="str">
        <f>Dist3</f>
        <v>blank</v>
      </c>
      <c r="B43" s="122" t="s">
        <v>132</v>
      </c>
      <c r="C43" s="96" t="s">
        <v>23</v>
      </c>
      <c r="E43" s="135"/>
      <c r="F43" s="135"/>
      <c r="G43" s="135"/>
      <c r="H43" s="135"/>
      <c r="J43" s="63"/>
      <c r="K43" s="63"/>
    </row>
    <row r="44" spans="1:13" s="34" customFormat="1" ht="16.5" hidden="1" x14ac:dyDescent="0.3">
      <c r="A44" s="34" t="str">
        <f>Dist4</f>
        <v>blank</v>
      </c>
      <c r="B44" s="122" t="s">
        <v>132</v>
      </c>
      <c r="C44" s="96" t="s">
        <v>23</v>
      </c>
      <c r="E44" s="135"/>
      <c r="F44" s="135"/>
      <c r="G44" s="135"/>
      <c r="H44" s="135"/>
    </row>
    <row r="45" spans="1:13" s="34" customFormat="1" ht="16.5" hidden="1" x14ac:dyDescent="0.3">
      <c r="A45" s="34" t="str">
        <f>Dist5</f>
        <v>blank</v>
      </c>
      <c r="B45" s="122" t="s">
        <v>132</v>
      </c>
      <c r="C45" s="96" t="s">
        <v>23</v>
      </c>
      <c r="E45" s="135"/>
      <c r="F45" s="135"/>
      <c r="G45" s="135"/>
      <c r="H45" s="135"/>
    </row>
    <row r="46" spans="1:13" s="96" customFormat="1" ht="16.5" x14ac:dyDescent="0.3">
      <c r="J46" s="63"/>
      <c r="K46" s="63"/>
    </row>
    <row r="47" spans="1:13" s="96" customFormat="1" ht="16.5" x14ac:dyDescent="0.3">
      <c r="A47" s="96" t="str">
        <f>TNSP &amp; " growth factor"</f>
        <v>Transgrid growth factor</v>
      </c>
      <c r="B47" s="122" t="s">
        <v>132</v>
      </c>
      <c r="C47" s="96" t="s">
        <v>23</v>
      </c>
      <c r="D47" s="137">
        <v>1.2E-2</v>
      </c>
      <c r="E47" s="137">
        <v>1.2E-2</v>
      </c>
      <c r="F47" s="137">
        <v>1.2E-2</v>
      </c>
      <c r="G47" s="137">
        <v>1.2E-2</v>
      </c>
      <c r="H47" s="137">
        <v>1.2E-2</v>
      </c>
      <c r="J47" s="63"/>
      <c r="K47" s="63"/>
    </row>
    <row r="48" spans="1:13" s="96" customFormat="1" ht="16.5" x14ac:dyDescent="0.3">
      <c r="J48" s="34"/>
      <c r="K48" s="34"/>
    </row>
    <row r="49" spans="1:11" ht="16.5" x14ac:dyDescent="0.3">
      <c r="J49" s="34"/>
      <c r="K49" s="34"/>
    </row>
    <row r="50" spans="1:11" ht="18.75" x14ac:dyDescent="0.3">
      <c r="A50" s="16" t="s">
        <v>63</v>
      </c>
    </row>
    <row r="51" spans="1:11" s="34" customFormat="1" ht="16.5" x14ac:dyDescent="0.3">
      <c r="A51" s="122" t="s">
        <v>133</v>
      </c>
      <c r="J51" s="63"/>
      <c r="K51" s="63"/>
    </row>
    <row r="52" spans="1:11" s="34" customFormat="1" ht="16.5" x14ac:dyDescent="0.3">
      <c r="A52" s="122" t="s">
        <v>134</v>
      </c>
      <c r="J52" s="63"/>
      <c r="K52" s="63"/>
    </row>
    <row r="53" spans="1:11" ht="16.5" x14ac:dyDescent="0.3">
      <c r="J53" s="96"/>
      <c r="K53" s="96"/>
    </row>
    <row r="54" spans="1:11" ht="18.75" x14ac:dyDescent="0.3">
      <c r="A54" s="16" t="s">
        <v>76</v>
      </c>
      <c r="J54" s="96"/>
      <c r="K54" s="96"/>
    </row>
    <row r="55" spans="1:11" s="34" customFormat="1" ht="16.5" x14ac:dyDescent="0.3">
      <c r="A55" s="72" t="s">
        <v>77</v>
      </c>
      <c r="B55" s="97" t="s">
        <v>116</v>
      </c>
    </row>
    <row r="56" spans="1:11" s="34" customFormat="1" ht="16.5" x14ac:dyDescent="0.3">
      <c r="A56" s="72" t="s">
        <v>78</v>
      </c>
      <c r="B56" s="97" t="s">
        <v>117</v>
      </c>
    </row>
    <row r="57" spans="1:11" ht="16.5" x14ac:dyDescent="0.3">
      <c r="B57" s="97" t="s">
        <v>115</v>
      </c>
    </row>
    <row r="59" spans="1:11" ht="18.75" x14ac:dyDescent="0.3">
      <c r="A59" s="16" t="s">
        <v>123</v>
      </c>
    </row>
    <row r="60" spans="1:11" s="96" customFormat="1" ht="16.5" x14ac:dyDescent="0.3">
      <c r="A60" s="96" t="s">
        <v>114</v>
      </c>
      <c r="B60" s="122" t="s">
        <v>115</v>
      </c>
      <c r="C60" s="103"/>
      <c r="E60" s="103"/>
      <c r="F60" s="103"/>
      <c r="G60" s="103"/>
      <c r="H60" s="103"/>
      <c r="J60" s="63"/>
      <c r="K60" s="63"/>
    </row>
    <row r="61" spans="1:11" s="96" customFormat="1" ht="14.25" customHeight="1" x14ac:dyDescent="0.3">
      <c r="A61" s="96" t="str">
        <f>"Is "&amp;Scheme1&amp;" included as part of total retail costs"</f>
        <v>Is Greenhouse gas abatement scheme included as part of total retail costs</v>
      </c>
      <c r="B61" s="122" t="s">
        <v>77</v>
      </c>
      <c r="E61" s="103"/>
      <c r="F61" s="106"/>
      <c r="G61" s="53"/>
      <c r="H61" s="53"/>
      <c r="J61" s="63"/>
      <c r="K61" s="63"/>
    </row>
    <row r="62" spans="1:11" s="34" customFormat="1" ht="16.5" x14ac:dyDescent="0.3">
      <c r="A62" s="34" t="s">
        <v>81</v>
      </c>
      <c r="B62" s="122" t="s">
        <v>78</v>
      </c>
      <c r="F62" s="51"/>
      <c r="J62" s="63"/>
      <c r="K62" s="63"/>
    </row>
    <row r="63" spans="1:11" s="34" customFormat="1" ht="16.5" x14ac:dyDescent="0.3">
      <c r="A63" s="88" t="s">
        <v>89</v>
      </c>
      <c r="B63" s="122" t="s">
        <v>77</v>
      </c>
      <c r="C63" s="88"/>
      <c r="J63" s="63"/>
      <c r="K63" s="63"/>
    </row>
    <row r="64" spans="1:11" ht="16.5" x14ac:dyDescent="0.3">
      <c r="A64" s="96" t="s">
        <v>125</v>
      </c>
      <c r="B64" s="96"/>
      <c r="C64" s="96"/>
      <c r="D64" s="122" t="s">
        <v>78</v>
      </c>
      <c r="E64" s="122" t="s">
        <v>78</v>
      </c>
      <c r="F64" s="122" t="s">
        <v>78</v>
      </c>
      <c r="G64" s="122" t="s">
        <v>78</v>
      </c>
      <c r="H64" s="122" t="s">
        <v>78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61"/>
  <sheetViews>
    <sheetView topLeftCell="A10" workbookViewId="0">
      <selection activeCell="A16" sqref="A16:XFD16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9" s="90" customFormat="1" ht="23.25" x14ac:dyDescent="0.35">
      <c r="A1" s="90" t="s">
        <v>1</v>
      </c>
      <c r="B1" s="111" t="str">
        <f ca="1">'Input Global'!B1</f>
        <v>2012 Pricing Trends - model - ACT</v>
      </c>
      <c r="C1" s="91"/>
      <c r="D1" s="91"/>
      <c r="E1" s="91"/>
      <c r="F1" s="91"/>
      <c r="I1" s="97" t="s">
        <v>31</v>
      </c>
    </row>
    <row r="2" spans="1:9" s="90" customFormat="1" ht="19.5" thickBot="1" x14ac:dyDescent="0.35">
      <c r="B2" s="92" t="str">
        <f ca="1">RIGHT(CELL("filename",B2),LEN(CELL("filename",B2))-SEARCH("]",CELL("filename",B2)))</f>
        <v>Input Frontier</v>
      </c>
      <c r="C2" s="92"/>
      <c r="D2" s="92"/>
      <c r="E2" s="92"/>
      <c r="F2" s="92"/>
      <c r="I2" s="78" t="s">
        <v>25</v>
      </c>
    </row>
    <row r="3" spans="1:9" s="90" customFormat="1" ht="16.5" x14ac:dyDescent="0.3">
      <c r="I3" s="85" t="s">
        <v>32</v>
      </c>
    </row>
    <row r="4" spans="1:9" s="90" customFormat="1" ht="15.75" x14ac:dyDescent="0.3">
      <c r="B4" s="26"/>
      <c r="C4" s="93" t="s">
        <v>8</v>
      </c>
      <c r="D4" s="93" t="str">
        <f>'Input Global'!D4</f>
        <v>2010/11</v>
      </c>
      <c r="E4" s="93" t="str">
        <f>'Input Global'!E4</f>
        <v>2011/12</v>
      </c>
      <c r="F4" s="93" t="str">
        <f>'Input Global'!F4</f>
        <v>2012/13</v>
      </c>
      <c r="G4" s="93" t="str">
        <f>'Input Global'!G4</f>
        <v>2013/14</v>
      </c>
      <c r="H4" s="93" t="str">
        <f>'Input Global'!H4</f>
        <v>2014/15</v>
      </c>
    </row>
    <row r="6" spans="1:9" s="36" customFormat="1" ht="18.75" x14ac:dyDescent="0.3">
      <c r="A6" s="35" t="s">
        <v>110</v>
      </c>
    </row>
    <row r="8" spans="1:9" ht="16.5" x14ac:dyDescent="0.3">
      <c r="A8" t="str">
        <f>A32</f>
        <v xml:space="preserve">Market Fees </v>
      </c>
      <c r="B8" t="s">
        <v>37</v>
      </c>
      <c r="C8" t="s">
        <v>127</v>
      </c>
      <c r="F8" s="102">
        <f>F32*100/1000</f>
        <v>3.9600000000000003E-2</v>
      </c>
      <c r="G8" s="102">
        <f>G32*(1+inflation)*100/1000</f>
        <v>4.0500000000000001E-2</v>
      </c>
      <c r="H8" s="102">
        <f>H32*(1+inflation)^2*100/1000</f>
        <v>4.1250000000000002E-2</v>
      </c>
    </row>
    <row r="9" spans="1:9" ht="16.5" x14ac:dyDescent="0.3">
      <c r="A9" t="str">
        <f>A33</f>
        <v>Ancillary Services</v>
      </c>
      <c r="B9" t="s">
        <v>37</v>
      </c>
      <c r="C9" t="s">
        <v>127</v>
      </c>
      <c r="F9" s="102">
        <f>F33*100/1000</f>
        <v>7.0517370134505639E-2</v>
      </c>
      <c r="G9" s="102">
        <f>G33*(1+inflation)*100/1000</f>
        <v>7.2280304387868283E-2</v>
      </c>
      <c r="H9" s="102">
        <f>H33*(1+inflation)^2*100/1000</f>
        <v>7.4087311997564978E-2</v>
      </c>
    </row>
    <row r="11" spans="1:9" x14ac:dyDescent="0.25">
      <c r="A11" s="37" t="str">
        <f>A35</f>
        <v>ActewAGL</v>
      </c>
    </row>
    <row r="12" spans="1:9" ht="16.5" x14ac:dyDescent="0.3">
      <c r="A12" t="str">
        <f ca="1">A36</f>
        <v>Calc (Market Planning Case)</v>
      </c>
      <c r="B12" t="s">
        <v>37</v>
      </c>
      <c r="C12" t="s">
        <v>127</v>
      </c>
      <c r="F12" s="102">
        <f>IF('Input General'!F87=0, F36*100/1000+F$8+F$9, F36*100/1000+F$9)</f>
        <v>6.9275539880383805</v>
      </c>
      <c r="G12" s="102">
        <f>IF('Input General'!G87=0, G36*(1+inflation)*100/1000+G$9+G$8, G36*(1+inflation)*100/1000+G$9)</f>
        <v>6.7670521234414123</v>
      </c>
      <c r="H12" s="102">
        <f>IF('Input General'!H87=0,H36*(1+inflation)^2*100/1000+H$8+H$9,H36*(1+inflation)^2*100/1000+H$9)</f>
        <v>7.0427224385809932</v>
      </c>
    </row>
    <row r="13" spans="1:9" ht="16.5" x14ac:dyDescent="0.3">
      <c r="A13" t="str">
        <f ca="1">A37</f>
        <v>Calc (Market Slow Rate)</v>
      </c>
      <c r="B13" t="s">
        <v>37</v>
      </c>
      <c r="C13" t="s">
        <v>127</v>
      </c>
      <c r="F13" s="102">
        <f>IF('Input General'!F87=0, F37*100/1000+F$8+F$9, F37*100/1000+F$9)</f>
        <v>6.5987732150056457</v>
      </c>
      <c r="G13" s="102">
        <f>IF('Input General'!G87=0, G37*(1+inflation)*100/1000+G$9+G$8, G37*(1+inflation)*100/1000+G$9)</f>
        <v>6.9028771091812207</v>
      </c>
      <c r="H13" s="102">
        <f>IF('Input General'!H87=0,H37*(1+inflation)^2*100/1000+H$8+H$9,H37*(1+inflation)^2*100/1000+H$9)</f>
        <v>6.6492085547564015</v>
      </c>
    </row>
    <row r="15" spans="1:9" x14ac:dyDescent="0.25">
      <c r="A15" s="8" t="str">
        <f>A39</f>
        <v>Carbon costs</v>
      </c>
    </row>
    <row r="16" spans="1:9" hidden="1" x14ac:dyDescent="0.25"/>
    <row r="17" spans="1:9" x14ac:dyDescent="0.25">
      <c r="A17" s="37" t="str">
        <f>A40</f>
        <v>ActewAGL</v>
      </c>
    </row>
    <row r="18" spans="1:9" ht="16.5" x14ac:dyDescent="0.3">
      <c r="A18" t="str">
        <f ca="1">A41</f>
        <v>Calc (Market Planning Case)</v>
      </c>
      <c r="B18" t="s">
        <v>37</v>
      </c>
      <c r="C18" t="s">
        <v>127</v>
      </c>
      <c r="F18" s="102">
        <f>F41*100/1000</f>
        <v>3.033849802973239</v>
      </c>
      <c r="G18" s="102">
        <f>G41*(1+inflation)*100/1000</f>
        <v>3.4028786643202458</v>
      </c>
      <c r="H18" s="102">
        <f>H41*(1+inflation)^2*100/1000</f>
        <v>3.2575977657519579</v>
      </c>
    </row>
    <row r="19" spans="1:9" ht="16.5" x14ac:dyDescent="0.3">
      <c r="A19" t="str">
        <f ca="1">A42</f>
        <v>Calc (Market Slow Rate)</v>
      </c>
      <c r="B19" t="s">
        <v>37</v>
      </c>
      <c r="C19" t="s">
        <v>127</v>
      </c>
      <c r="F19" s="102">
        <f>F42*100/1000</f>
        <v>3.1413185595894157</v>
      </c>
      <c r="G19" s="102">
        <f>G42*(1+inflation)*100/1000</f>
        <v>3.6721868367941797</v>
      </c>
      <c r="H19" s="102">
        <f>H42*(1+inflation)^2*100/1000</f>
        <v>3.4465033663145137</v>
      </c>
    </row>
    <row r="21" spans="1:9" x14ac:dyDescent="0.25">
      <c r="A21" s="8" t="str">
        <f>A44</f>
        <v>LRET</v>
      </c>
    </row>
    <row r="22" spans="1:9" x14ac:dyDescent="0.25">
      <c r="A22" s="37" t="str">
        <f>A45</f>
        <v>ActewAGL</v>
      </c>
    </row>
    <row r="23" spans="1:9" ht="16.5" x14ac:dyDescent="0.3">
      <c r="A23" t="str">
        <f ca="1">A48</f>
        <v>Calc (Market Planning Case)</v>
      </c>
      <c r="B23" t="s">
        <v>37</v>
      </c>
      <c r="C23" t="s">
        <v>127</v>
      </c>
      <c r="F23" s="102">
        <f>F48*100/1000</f>
        <v>0.40638414346442708</v>
      </c>
      <c r="G23" s="102">
        <f>G48*(1+inflation)*100/1000</f>
        <v>0.43546358633500859</v>
      </c>
      <c r="H23" s="102">
        <f>H48*(1+inflation)^2*100/1000</f>
        <v>0.46113702273364543</v>
      </c>
    </row>
    <row r="24" spans="1:9" ht="16.5" x14ac:dyDescent="0.3">
      <c r="A24" t="str">
        <f ca="1">A49</f>
        <v>Calc (Market Slow Rate)</v>
      </c>
      <c r="B24" t="s">
        <v>37</v>
      </c>
      <c r="C24" t="s">
        <v>127</v>
      </c>
      <c r="F24" s="102">
        <f>F49*100/1000</f>
        <v>0.71140779863894443</v>
      </c>
      <c r="G24" s="102">
        <f>G49*(1+inflation)*100/1000</f>
        <v>0.76231370555027977</v>
      </c>
      <c r="H24" s="102">
        <f>H49*(1+inflation)^2*100/1000</f>
        <v>0.80725697983074074</v>
      </c>
    </row>
    <row r="26" spans="1:9" x14ac:dyDescent="0.25">
      <c r="A26" s="8" t="str">
        <f>A51</f>
        <v>SRES</v>
      </c>
    </row>
    <row r="27" spans="1:9" ht="16.5" x14ac:dyDescent="0.3">
      <c r="A27" t="str">
        <f>A52</f>
        <v>ActewAGL</v>
      </c>
      <c r="B27" t="s">
        <v>37</v>
      </c>
      <c r="C27" t="s">
        <v>127</v>
      </c>
      <c r="F27" s="102">
        <f>F52*100/1000</f>
        <v>0.64463520000000007</v>
      </c>
      <c r="G27" s="102">
        <f>G52*(1+inflation)*100/1000</f>
        <v>0.28372031999999997</v>
      </c>
      <c r="H27" s="102">
        <f>H52*(1+inflation)^2*100/1000</f>
        <v>0.2465376</v>
      </c>
    </row>
    <row r="29" spans="1:9" s="36" customFormat="1" ht="18.75" x14ac:dyDescent="0.3">
      <c r="A29" s="35" t="s">
        <v>124</v>
      </c>
    </row>
    <row r="30" spans="1:9" ht="16.5" x14ac:dyDescent="0.3">
      <c r="B30" s="103"/>
      <c r="C30" s="103"/>
      <c r="D30" s="103"/>
      <c r="E30" s="103"/>
      <c r="F30" s="103"/>
      <c r="G30" s="103"/>
      <c r="H30" s="103"/>
      <c r="I30" s="96"/>
    </row>
    <row r="31" spans="1:9" ht="16.5" x14ac:dyDescent="0.3">
      <c r="A31" s="21" t="s">
        <v>75</v>
      </c>
      <c r="B31" s="103"/>
      <c r="C31" s="103"/>
      <c r="D31" s="103"/>
      <c r="E31" s="103"/>
      <c r="F31" s="103"/>
      <c r="G31" s="103"/>
      <c r="H31" s="103"/>
      <c r="I31" s="96"/>
    </row>
    <row r="32" spans="1:9" ht="16.5" x14ac:dyDescent="0.3">
      <c r="A32" s="103" t="s">
        <v>111</v>
      </c>
      <c r="B32" s="122" t="s">
        <v>67</v>
      </c>
      <c r="C32" s="103" t="s">
        <v>68</v>
      </c>
      <c r="D32" s="103"/>
      <c r="E32" s="103"/>
      <c r="F32" s="122">
        <v>0.39600000000000002</v>
      </c>
      <c r="G32" s="122">
        <v>0.39512195121951227</v>
      </c>
      <c r="H32" s="122">
        <v>0.39262343842950626</v>
      </c>
      <c r="I32" s="41"/>
    </row>
    <row r="33" spans="1:9" ht="16.5" x14ac:dyDescent="0.3">
      <c r="A33" s="103" t="s">
        <v>112</v>
      </c>
      <c r="B33" s="122" t="s">
        <v>67</v>
      </c>
      <c r="C33" s="103" t="s">
        <v>68</v>
      </c>
      <c r="D33" s="103"/>
      <c r="E33" s="103"/>
      <c r="F33" s="122">
        <v>0.70517370134505641</v>
      </c>
      <c r="G33" s="122">
        <v>0.70517370134505641</v>
      </c>
      <c r="H33" s="122">
        <v>0.70517370134505641</v>
      </c>
      <c r="I33" s="96"/>
    </row>
    <row r="34" spans="1:9" ht="16.5" x14ac:dyDescent="0.3">
      <c r="A34" s="96"/>
      <c r="B34" s="96"/>
      <c r="C34" s="96"/>
      <c r="D34" s="96"/>
      <c r="E34" s="96"/>
      <c r="F34" s="50"/>
      <c r="G34" s="96"/>
      <c r="H34" s="96"/>
      <c r="I34" s="96"/>
    </row>
    <row r="35" spans="1:9" ht="16.5" x14ac:dyDescent="0.3">
      <c r="A35" s="104" t="str">
        <f>Dist1</f>
        <v>ActewAGL</v>
      </c>
      <c r="B35" s="103"/>
      <c r="C35" s="103"/>
      <c r="D35" s="103"/>
      <c r="E35" s="103"/>
      <c r="F35" s="105"/>
      <c r="G35" s="103"/>
      <c r="H35" s="103"/>
      <c r="I35" s="96"/>
    </row>
    <row r="36" spans="1:9" ht="16.5" x14ac:dyDescent="0.3">
      <c r="A36" s="96" t="str">
        <f ca="1">'Calc (Market Planning Case)'!$B$2</f>
        <v>Calc (Market Planning Case)</v>
      </c>
      <c r="B36" s="122" t="s">
        <v>67</v>
      </c>
      <c r="C36" s="103" t="s">
        <v>68</v>
      </c>
      <c r="D36" s="103"/>
      <c r="E36" s="103"/>
      <c r="F36" s="122">
        <v>68.570366179038743</v>
      </c>
      <c r="G36" s="122">
        <v>64.919725063937022</v>
      </c>
      <c r="H36" s="122">
        <v>65.93584891453591</v>
      </c>
      <c r="I36" s="96"/>
    </row>
    <row r="37" spans="1:9" ht="16.5" x14ac:dyDescent="0.3">
      <c r="A37" s="96" t="str">
        <f ca="1">'Calc (Market Slow Rate)'!$B$2</f>
        <v>Calc (Market Slow Rate)</v>
      </c>
      <c r="B37" s="122" t="s">
        <v>67</v>
      </c>
      <c r="C37" s="103" t="s">
        <v>68</v>
      </c>
      <c r="D37" s="103"/>
      <c r="E37" s="103"/>
      <c r="F37" s="122">
        <v>65.282558448711399</v>
      </c>
      <c r="G37" s="122">
        <v>66.244846876032724</v>
      </c>
      <c r="H37" s="122">
        <v>62.190327117276262</v>
      </c>
      <c r="I37" s="96"/>
    </row>
    <row r="38" spans="1:9" ht="16.5" x14ac:dyDescent="0.3">
      <c r="A38" s="103"/>
      <c r="B38" s="103"/>
      <c r="C38" s="103"/>
      <c r="D38" s="103"/>
      <c r="E38" s="103"/>
      <c r="F38" s="50"/>
      <c r="G38" s="106"/>
      <c r="H38" s="106"/>
      <c r="I38" s="96"/>
    </row>
    <row r="39" spans="1:9" ht="16.5" x14ac:dyDescent="0.3">
      <c r="A39" s="101" t="s">
        <v>94</v>
      </c>
      <c r="B39" s="103"/>
      <c r="C39" s="103"/>
      <c r="D39" s="103"/>
      <c r="E39" s="103"/>
      <c r="F39" s="50"/>
      <c r="G39" s="106"/>
      <c r="H39" s="106"/>
      <c r="I39" s="96"/>
    </row>
    <row r="40" spans="1:9" ht="16.5" x14ac:dyDescent="0.3">
      <c r="A40" s="104" t="str">
        <f>Dist1</f>
        <v>ActewAGL</v>
      </c>
      <c r="B40" s="103"/>
      <c r="C40" s="103"/>
      <c r="D40" s="103"/>
      <c r="E40" s="103"/>
      <c r="F40" s="105"/>
      <c r="G40" s="103"/>
      <c r="H40" s="103"/>
      <c r="I40" s="96"/>
    </row>
    <row r="41" spans="1:9" ht="16.5" x14ac:dyDescent="0.3">
      <c r="A41" s="96" t="str">
        <f ca="1">'Calc (Market Planning Case)'!$B$2</f>
        <v>Calc (Market Planning Case)</v>
      </c>
      <c r="B41" s="122" t="s">
        <v>67</v>
      </c>
      <c r="C41" s="103" t="s">
        <v>68</v>
      </c>
      <c r="D41" s="103"/>
      <c r="E41" s="103"/>
      <c r="F41" s="122">
        <v>30.338498029732392</v>
      </c>
      <c r="G41" s="122">
        <v>33.198816237270691</v>
      </c>
      <c r="H41" s="122">
        <v>31.00628450448027</v>
      </c>
      <c r="I41" s="96"/>
    </row>
    <row r="42" spans="1:9" ht="16.5" x14ac:dyDescent="0.3">
      <c r="A42" s="96" t="str">
        <f ca="1">'Calc (Market Slow Rate)'!$B$2</f>
        <v>Calc (Market Slow Rate)</v>
      </c>
      <c r="B42" s="122" t="s">
        <v>67</v>
      </c>
      <c r="C42" s="103" t="s">
        <v>68</v>
      </c>
      <c r="D42" s="103"/>
      <c r="E42" s="103"/>
      <c r="F42" s="122">
        <v>31.413185595894156</v>
      </c>
      <c r="G42" s="122">
        <v>35.826213041894434</v>
      </c>
      <c r="H42" s="122">
        <v>32.804315205849029</v>
      </c>
      <c r="I42" s="96"/>
    </row>
    <row r="43" spans="1:9" ht="16.5" x14ac:dyDescent="0.3">
      <c r="A43" s="96"/>
      <c r="B43" s="103"/>
      <c r="C43" s="103"/>
      <c r="D43" s="103"/>
      <c r="E43" s="103"/>
      <c r="F43" s="53"/>
      <c r="G43" s="53"/>
      <c r="H43" s="53"/>
      <c r="I43" s="53"/>
    </row>
    <row r="44" spans="1:9" ht="16.5" x14ac:dyDescent="0.3">
      <c r="A44" s="44" t="s">
        <v>16</v>
      </c>
      <c r="B44" s="103"/>
      <c r="C44" s="103"/>
      <c r="D44" s="103"/>
      <c r="E44" s="103"/>
      <c r="F44" s="53"/>
      <c r="G44" s="53"/>
      <c r="H44" s="53"/>
      <c r="I44" s="96"/>
    </row>
    <row r="45" spans="1:9" ht="16.5" x14ac:dyDescent="0.3">
      <c r="A45" s="104" t="str">
        <f>Dist1</f>
        <v>ActewAGL</v>
      </c>
      <c r="B45" s="103"/>
      <c r="C45" s="103"/>
      <c r="D45" s="103"/>
      <c r="E45" s="103"/>
      <c r="F45" s="106"/>
      <c r="G45" s="106"/>
      <c r="H45" s="106"/>
      <c r="I45" s="96"/>
    </row>
    <row r="46" spans="1:9" ht="16.5" x14ac:dyDescent="0.3">
      <c r="A46" s="96" t="str">
        <f ca="1">'Calc (Market Planning Case)'!$B$2</f>
        <v>Calc (Market Planning Case)</v>
      </c>
      <c r="B46" s="122" t="s">
        <v>67</v>
      </c>
      <c r="C46" s="103" t="s">
        <v>68</v>
      </c>
      <c r="D46" s="103"/>
      <c r="E46" s="103"/>
      <c r="F46" s="122">
        <v>4.0638414346442708</v>
      </c>
      <c r="G46" s="122">
        <v>4.2484252325366691</v>
      </c>
      <c r="H46" s="122">
        <v>4.389168568553437</v>
      </c>
      <c r="I46" s="96"/>
    </row>
    <row r="47" spans="1:9" ht="16.5" x14ac:dyDescent="0.3">
      <c r="A47" s="96" t="str">
        <f ca="1">'Calc (Market Slow Rate)'!$B$2</f>
        <v>Calc (Market Slow Rate)</v>
      </c>
      <c r="B47" s="122" t="s">
        <v>67</v>
      </c>
      <c r="C47" s="103" t="s">
        <v>68</v>
      </c>
      <c r="D47" s="103"/>
      <c r="E47" s="103"/>
      <c r="F47" s="122">
        <v>7.1140779863894439</v>
      </c>
      <c r="G47" s="122">
        <v>7.4372068834173639</v>
      </c>
      <c r="H47" s="122">
        <v>7.6835881482997337</v>
      </c>
      <c r="I47" s="96"/>
    </row>
    <row r="48" spans="1:9" ht="16.5" x14ac:dyDescent="0.3">
      <c r="A48" s="96" t="str">
        <f ca="1">'Calc (Market Planning Case)'!$B$2</f>
        <v>Calc (Market Planning Case)</v>
      </c>
      <c r="B48" s="97" t="s">
        <v>37</v>
      </c>
      <c r="C48" s="103" t="s">
        <v>68</v>
      </c>
      <c r="D48" s="103"/>
      <c r="E48" s="103"/>
      <c r="F48" s="107">
        <f>F46</f>
        <v>4.0638414346442708</v>
      </c>
      <c r="G48" s="107">
        <f>G46</f>
        <v>4.2484252325366691</v>
      </c>
      <c r="H48" s="107">
        <f t="shared" ref="G48:H49" si="0">H46</f>
        <v>4.389168568553437</v>
      </c>
      <c r="I48" s="96"/>
    </row>
    <row r="49" spans="1:9" ht="16.5" x14ac:dyDescent="0.3">
      <c r="A49" s="96" t="str">
        <f ca="1">'Calc (Market Slow Rate)'!$B$2</f>
        <v>Calc (Market Slow Rate)</v>
      </c>
      <c r="B49" s="97" t="s">
        <v>37</v>
      </c>
      <c r="C49" s="103" t="s">
        <v>68</v>
      </c>
      <c r="D49" s="103"/>
      <c r="E49" s="103"/>
      <c r="F49" s="107">
        <f t="shared" ref="F49" si="1">F47</f>
        <v>7.1140779863894439</v>
      </c>
      <c r="G49" s="107">
        <f t="shared" si="0"/>
        <v>7.4372068834173639</v>
      </c>
      <c r="H49" s="107">
        <f t="shared" si="0"/>
        <v>7.6835881482997337</v>
      </c>
      <c r="I49" s="96"/>
    </row>
    <row r="50" spans="1:9" ht="16.5" x14ac:dyDescent="0.3">
      <c r="A50" s="103"/>
      <c r="B50" s="96"/>
      <c r="C50" s="96"/>
      <c r="D50" s="96"/>
      <c r="E50" s="96"/>
      <c r="F50" s="106"/>
      <c r="G50" s="106"/>
      <c r="H50" s="106"/>
      <c r="I50" s="96"/>
    </row>
    <row r="51" spans="1:9" ht="16.5" x14ac:dyDescent="0.3">
      <c r="A51" s="101" t="s">
        <v>17</v>
      </c>
      <c r="B51" s="96"/>
      <c r="C51" s="96"/>
      <c r="D51" s="96"/>
      <c r="E51" s="96"/>
      <c r="F51" s="106"/>
      <c r="G51" s="106"/>
      <c r="H51" s="106"/>
      <c r="I51" s="96"/>
    </row>
    <row r="52" spans="1:9" ht="16.5" x14ac:dyDescent="0.3">
      <c r="A52" s="52" t="str">
        <f>Dist1</f>
        <v>ActewAGL</v>
      </c>
      <c r="B52" s="122" t="s">
        <v>67</v>
      </c>
      <c r="C52" s="103" t="s">
        <v>68</v>
      </c>
      <c r="D52" s="103"/>
      <c r="E52" s="103"/>
      <c r="F52" s="122">
        <v>6.4463520000000001</v>
      </c>
      <c r="G52" s="122">
        <v>2.7680031219512196</v>
      </c>
      <c r="H52" s="122">
        <v>2.3465803688280786</v>
      </c>
      <c r="I52" s="96"/>
    </row>
    <row r="53" spans="1:9" ht="16.5" x14ac:dyDescent="0.3">
      <c r="A53" s="52"/>
      <c r="B53" s="103"/>
      <c r="C53" s="103"/>
      <c r="D53" s="103"/>
      <c r="E53" s="103"/>
      <c r="F53" s="106"/>
      <c r="G53" s="53"/>
      <c r="H53" s="53"/>
      <c r="I53" s="96"/>
    </row>
    <row r="54" spans="1:9" ht="16.5" x14ac:dyDescent="0.3">
      <c r="I54" s="96"/>
    </row>
    <row r="55" spans="1:9" ht="16.5" x14ac:dyDescent="0.3">
      <c r="I55" s="96"/>
    </row>
    <row r="56" spans="1:9" ht="16.5" x14ac:dyDescent="0.3">
      <c r="I56" s="96"/>
    </row>
    <row r="57" spans="1:9" ht="16.5" x14ac:dyDescent="0.3">
      <c r="I57" s="96"/>
    </row>
    <row r="58" spans="1:9" ht="16.5" x14ac:dyDescent="0.3">
      <c r="I58" s="96"/>
    </row>
    <row r="59" spans="1:9" ht="16.5" x14ac:dyDescent="0.3">
      <c r="I59" s="96"/>
    </row>
    <row r="60" spans="1:9" ht="16.5" x14ac:dyDescent="0.3">
      <c r="I60" s="96"/>
    </row>
    <row r="61" spans="1:9" ht="16.5" x14ac:dyDescent="0.3">
      <c r="I61" s="96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09"/>
  <sheetViews>
    <sheetView zoomScaleNormal="100" workbookViewId="0">
      <pane ySplit="4" topLeftCell="A5" activePane="bottomLeft" state="frozenSplit"/>
      <selection activeCell="C50" sqref="C50"/>
      <selection pane="bottomLeft" activeCell="C127" sqref="C127"/>
    </sheetView>
  </sheetViews>
  <sheetFormatPr defaultColWidth="9.140625" defaultRowHeight="16.5" x14ac:dyDescent="0.3"/>
  <cols>
    <col min="1" max="1" width="27.5703125" style="63" bestFit="1" customWidth="1"/>
    <col min="2" max="3" width="15" style="63" customWidth="1"/>
    <col min="4" max="6" width="17.7109375" style="63" customWidth="1"/>
    <col min="7" max="8" width="17.7109375" style="34" customWidth="1"/>
    <col min="9" max="9" width="14.85546875" style="63" customWidth="1"/>
    <col min="10" max="10" width="11.42578125" style="63" bestFit="1" customWidth="1"/>
    <col min="11" max="11" width="11.28515625" style="63" bestFit="1" customWidth="1"/>
    <col min="12" max="13" width="12.42578125" style="63" bestFit="1" customWidth="1"/>
    <col min="14" max="14" width="13" style="63" bestFit="1" customWidth="1"/>
    <col min="15" max="15" width="9.85546875" style="63" bestFit="1" customWidth="1"/>
    <col min="16" max="16384" width="9.140625" style="63"/>
  </cols>
  <sheetData>
    <row r="1" spans="1:9" s="22" customFormat="1" ht="23.25" x14ac:dyDescent="0.35">
      <c r="A1" s="22" t="s">
        <v>1</v>
      </c>
      <c r="B1" s="23" t="str">
        <f ca="1">'Input Global'!B1</f>
        <v>2012 Pricing Trends - model - ACT</v>
      </c>
      <c r="C1" s="23"/>
      <c r="D1" s="23"/>
      <c r="E1" s="23"/>
      <c r="F1" s="23"/>
      <c r="I1" s="109" t="s">
        <v>31</v>
      </c>
    </row>
    <row r="2" spans="1:9" s="22" customFormat="1" ht="18.75" x14ac:dyDescent="0.3">
      <c r="B2" s="25" t="str">
        <f ca="1">RIGHT(CELL("filename",B2),LEN(CELL("filename",B2))-SEARCH("]",CELL("filename",B2)))</f>
        <v>Input General</v>
      </c>
      <c r="C2" s="25"/>
      <c r="D2" s="25"/>
      <c r="E2" s="25"/>
      <c r="F2" s="25"/>
      <c r="I2" s="70" t="s">
        <v>25</v>
      </c>
    </row>
    <row r="3" spans="1:9" s="22" customFormat="1" x14ac:dyDescent="0.3">
      <c r="I3" s="116" t="s">
        <v>32</v>
      </c>
    </row>
    <row r="4" spans="1:9" s="22" customFormat="1" ht="15.75" x14ac:dyDescent="0.3">
      <c r="B4" s="26"/>
      <c r="C4" s="27" t="s">
        <v>8</v>
      </c>
      <c r="D4" s="27" t="str">
        <f>'Input Global'!D4</f>
        <v>2010/11</v>
      </c>
      <c r="E4" s="27" t="str">
        <f>'Input Global'!E4</f>
        <v>2011/12</v>
      </c>
      <c r="F4" s="27" t="str">
        <f>'Input Global'!F4</f>
        <v>2012/13</v>
      </c>
      <c r="G4" s="27" t="str">
        <f>'Input Global'!G4</f>
        <v>2013/14</v>
      </c>
      <c r="H4" s="27" t="str">
        <f>'Input Global'!H4</f>
        <v>2014/15</v>
      </c>
    </row>
    <row r="5" spans="1:9" s="34" customFormat="1" x14ac:dyDescent="0.3"/>
    <row r="6" spans="1:9" s="36" customFormat="1" ht="18.75" x14ac:dyDescent="0.3">
      <c r="A6" s="35" t="s">
        <v>119</v>
      </c>
    </row>
    <row r="7" spans="1:9" s="34" customFormat="1" x14ac:dyDescent="0.3">
      <c r="A7" s="37" t="str">
        <f>Dist1</f>
        <v>ActewAGL</v>
      </c>
      <c r="F7" s="38"/>
    </row>
    <row r="8" spans="1:9" s="34" customFormat="1" x14ac:dyDescent="0.3">
      <c r="A8" s="39" t="s">
        <v>18</v>
      </c>
      <c r="B8" s="34" t="s">
        <v>25</v>
      </c>
      <c r="C8" s="34" t="s">
        <v>29</v>
      </c>
      <c r="D8" s="73">
        <f>IF($C158="$/pa",D158*100,D158)</f>
        <v>0</v>
      </c>
      <c r="E8" s="73">
        <f>IF($C158="$/pa",E158*100,E158)</f>
        <v>0</v>
      </c>
      <c r="F8" s="73">
        <f>IF($C158="$/pa",F158*100,F158)</f>
        <v>0</v>
      </c>
      <c r="G8" s="73">
        <f>IF($C158="$/pa",G158*100,G158)</f>
        <v>0</v>
      </c>
      <c r="H8" s="73">
        <f>IF($C158="$/pa",H158*100,H158)</f>
        <v>0</v>
      </c>
    </row>
    <row r="9" spans="1:9" s="34" customFormat="1" x14ac:dyDescent="0.3">
      <c r="A9" s="39" t="s">
        <v>19</v>
      </c>
      <c r="B9" s="34" t="s">
        <v>25</v>
      </c>
      <c r="C9" s="34" t="s">
        <v>11</v>
      </c>
      <c r="D9" s="73">
        <f>IF($C159="$/kwh",D159*100,IF($C159="$/mwh",D159*100/1000,D159))</f>
        <v>1.149</v>
      </c>
      <c r="E9" s="73">
        <f>IF($C159="$/kwh",E159*100,IF($C159="$/mwh",E159*100/1000,E159))</f>
        <v>1.377</v>
      </c>
      <c r="F9" s="73">
        <f>IF($C159="$/kwh",F159*100,IF($C159="$/mwh",F159*100/1000,F159))</f>
        <v>1.653</v>
      </c>
      <c r="G9" s="73">
        <f>IF($C159="$/kwh",G159*100,IF($C159="$/mwh",G159*100/1000,G159))</f>
        <v>1.7681587277667981</v>
      </c>
      <c r="H9" s="73">
        <f>IF($C159="$/kwh",H159*100,IF($C159="$/mwh",H159*100/1000,H159))</f>
        <v>1.8913401612691485</v>
      </c>
    </row>
    <row r="10" spans="1:9" s="34" customFormat="1" x14ac:dyDescent="0.3">
      <c r="A10" s="39" t="s">
        <v>20</v>
      </c>
      <c r="B10" s="34" t="s">
        <v>25</v>
      </c>
      <c r="C10" s="34" t="s">
        <v>11</v>
      </c>
      <c r="D10" s="73">
        <f t="shared" ref="D10:H12" si="0">IF($C160="$/kwh",D160*100,IF($C160="$/mwh",D160*100/1000,D160))</f>
        <v>0</v>
      </c>
      <c r="E10" s="73">
        <f t="shared" si="0"/>
        <v>0</v>
      </c>
      <c r="F10" s="98">
        <f t="shared" si="0"/>
        <v>0</v>
      </c>
      <c r="G10" s="98">
        <f t="shared" si="0"/>
        <v>0</v>
      </c>
      <c r="H10" s="73">
        <f t="shared" ref="G10:H11" si="1">IF($C160="$/kwh",H160*100,IF($C160="$/mwh",H160*100/1000,H160))</f>
        <v>0</v>
      </c>
    </row>
    <row r="11" spans="1:9" s="34" customFormat="1" x14ac:dyDescent="0.3">
      <c r="A11" s="39" t="s">
        <v>21</v>
      </c>
      <c r="B11" s="34" t="s">
        <v>25</v>
      </c>
      <c r="C11" s="34" t="s">
        <v>11</v>
      </c>
      <c r="D11" s="73">
        <f t="shared" si="0"/>
        <v>0</v>
      </c>
      <c r="E11" s="73">
        <f t="shared" si="0"/>
        <v>0</v>
      </c>
      <c r="F11" s="73">
        <f>IF($C161="$/kwh",F161*100,IF($C161="$/mwh",F161*100/1000,F161))</f>
        <v>0</v>
      </c>
      <c r="G11" s="73">
        <f t="shared" si="1"/>
        <v>0</v>
      </c>
      <c r="H11" s="73">
        <f t="shared" si="1"/>
        <v>0</v>
      </c>
    </row>
    <row r="12" spans="1:9" s="34" customFormat="1" x14ac:dyDescent="0.3">
      <c r="A12" s="39" t="s">
        <v>84</v>
      </c>
      <c r="B12" s="34" t="s">
        <v>25</v>
      </c>
      <c r="C12" s="34" t="s">
        <v>11</v>
      </c>
      <c r="D12" s="73">
        <f t="shared" si="0"/>
        <v>0</v>
      </c>
      <c r="E12" s="73">
        <f t="shared" si="0"/>
        <v>0</v>
      </c>
      <c r="F12" s="98">
        <f t="shared" si="0"/>
        <v>0</v>
      </c>
      <c r="G12" s="98">
        <f t="shared" si="0"/>
        <v>0</v>
      </c>
      <c r="H12" s="98">
        <f t="shared" si="0"/>
        <v>0</v>
      </c>
    </row>
    <row r="13" spans="1:9" s="34" customFormat="1" x14ac:dyDescent="0.3"/>
    <row r="14" spans="1:9" s="36" customFormat="1" ht="18.75" x14ac:dyDescent="0.3">
      <c r="A14" s="35" t="s">
        <v>12</v>
      </c>
    </row>
    <row r="15" spans="1:9" s="34" customFormat="1" x14ac:dyDescent="0.3">
      <c r="A15" s="37" t="str">
        <f>Dist1</f>
        <v>ActewAGL</v>
      </c>
    </row>
    <row r="16" spans="1:9" s="34" customFormat="1" x14ac:dyDescent="0.3">
      <c r="A16" s="34" t="s">
        <v>18</v>
      </c>
      <c r="B16" s="34" t="s">
        <v>25</v>
      </c>
      <c r="C16" s="34" t="s">
        <v>29</v>
      </c>
      <c r="D16" s="73">
        <f>IF($C169="$/pa",D169*100,D169)-IF('Input Global'!$B$63="yes",D27,0)</f>
        <v>5113.6499999999996</v>
      </c>
      <c r="E16" s="73">
        <f>IF($C169="$/pa",E169*100,E169)-IF('Input Global'!$B$63="yes",E27,0)</f>
        <v>5247.840909090909</v>
      </c>
      <c r="F16" s="73">
        <f>IF($C169="$/pa",F169*100,F169)-IF('Input Global'!$B$63="yes",F27,0)</f>
        <v>5595.629335260116</v>
      </c>
      <c r="G16" s="73">
        <f>IF($C169="$/pa",G169*100,G169)-IF('Input Global'!$B$63="yes",G27,0)</f>
        <v>5989.3614114280599</v>
      </c>
      <c r="H16" s="73">
        <f>IF($C169="$/pa",H169*100,H169)-IF('Input Global'!$B$63="yes",H27,0)</f>
        <v>6471.2205103809765</v>
      </c>
    </row>
    <row r="17" spans="1:8" s="34" customFormat="1" x14ac:dyDescent="0.3">
      <c r="A17" s="34" t="s">
        <v>19</v>
      </c>
      <c r="B17" s="34" t="s">
        <v>25</v>
      </c>
      <c r="C17" s="34" t="s">
        <v>11</v>
      </c>
      <c r="D17" s="73">
        <f>IF($C170="$/kwh",D170*100,IF($C170="$/mwh",D170*100/1000,D170))-IF('Input Global'!$B$63="yes",D28,0)</f>
        <v>4.7009999999999996</v>
      </c>
      <c r="E17" s="73">
        <f>IF($C170="$/kwh",E170*100,IF($C170="$/mwh",E170*100/1000,E170))-IF('Input Global'!$B$63="yes",E28,0)</f>
        <v>4.6402851805728513</v>
      </c>
      <c r="F17" s="73">
        <f>IF($C170="$/kwh",F170*100,IF($C170="$/mwh",F170*100/1000,F170))-IF('Input Global'!$B$63="yes",F28,0)</f>
        <v>4.8448664739884393</v>
      </c>
      <c r="G17" s="73">
        <f>IF($C170="$/kwh",G170*100,IF($C170="$/mwh",G170*100/1000,G170))-IF('Input Global'!$B$63="yes",G28,0)</f>
        <v>5.1940883323155944</v>
      </c>
      <c r="H17" s="73">
        <f>IF($C170="$/kwh",H170*100,IF($C170="$/mwh",H170*100/1000,H170))-IF('Input Global'!$B$63="yes",H28,0)</f>
        <v>5.6119657238712142</v>
      </c>
    </row>
    <row r="18" spans="1:8" s="34" customFormat="1" x14ac:dyDescent="0.3">
      <c r="A18" s="34" t="s">
        <v>20</v>
      </c>
      <c r="B18" s="34" t="s">
        <v>25</v>
      </c>
      <c r="C18" s="34" t="s">
        <v>11</v>
      </c>
      <c r="D18" s="73">
        <f>IF($C171="$/kwh",D171*100,IF($C171="$/mwh",D171*100/1000,D171))-IF('Input Global'!$B$63="yes",D29,0)</f>
        <v>0</v>
      </c>
      <c r="E18" s="73">
        <f>IF($C171="$/kwh",E171*100,IF($C171="$/mwh",E171*100/1000,E171))-IF('Input Global'!$B$63="yes",E29,0)</f>
        <v>0</v>
      </c>
      <c r="F18" s="73">
        <f>IF($C171="$/kwh",F171*100,IF($C171="$/mwh",F171*100/1000,F171))-IF('Input Global'!$B$63="yes",F29,0)</f>
        <v>0</v>
      </c>
      <c r="G18" s="73">
        <f>IF($C171="$/kwh",G171*100,IF($C171="$/mwh",G171*100/1000,G171))-IF('Input Global'!$B$63="yes",G29,0)</f>
        <v>0</v>
      </c>
      <c r="H18" s="73">
        <f>IF($C171="$/kwh",H171*100,IF($C171="$/mwh",H171*100/1000,H171))-IF('Input Global'!$B$63="yes",H29,0)</f>
        <v>0</v>
      </c>
    </row>
    <row r="19" spans="1:8" s="34" customFormat="1" x14ac:dyDescent="0.3">
      <c r="A19" s="34" t="s">
        <v>21</v>
      </c>
      <c r="B19" s="34" t="s">
        <v>25</v>
      </c>
      <c r="C19" s="34" t="s">
        <v>11</v>
      </c>
      <c r="D19" s="73">
        <f>IF($C172="$/kwh",D172*100,IF($C172="$/mwh",D172*100/1000,D172))-IF('Input Global'!$B$63="yes",D30,0)</f>
        <v>0</v>
      </c>
      <c r="E19" s="73">
        <f>IF($C172="$/kwh",E172*100,IF($C172="$/mwh",E172*100/1000,E172))-IF('Input Global'!$B$63="yes",E30,0)</f>
        <v>0</v>
      </c>
      <c r="F19" s="73">
        <f>IF($C172="$/kwh",F172*100,IF($C172="$/mwh",F172*100/1000,F172))-IF('Input Global'!$B$63="yes",F30,0)</f>
        <v>0</v>
      </c>
      <c r="G19" s="73">
        <f>IF($C172="$/kwh",G172*100,IF($C172="$/mwh",G172*100/1000,G172))-IF('Input Global'!$B$63="yes",G30,0)</f>
        <v>0</v>
      </c>
      <c r="H19" s="73">
        <f>IF($C172="$/kwh",H172*100,IF($C172="$/mwh",H172*100/1000,H172))-IF('Input Global'!$B$63="yes",H30,0)</f>
        <v>0</v>
      </c>
    </row>
    <row r="20" spans="1:8" s="34" customFormat="1" x14ac:dyDescent="0.3">
      <c r="A20" s="34" t="s">
        <v>84</v>
      </c>
      <c r="B20" s="34" t="s">
        <v>25</v>
      </c>
      <c r="C20" s="34" t="s">
        <v>11</v>
      </c>
      <c r="D20" s="73">
        <f>IF($C173="$/kwh",D173*100,IF($C173="$/mwh",D173*100/1000,D173))-IF('Input Global'!$B$63="yes",D31,0)</f>
        <v>0</v>
      </c>
      <c r="E20" s="73">
        <f>IF($C173="$/kwh",E173*100,IF($C173="$/mwh",E173*100/1000,E173))-IF('Input Global'!$B$63="yes",E31,0)</f>
        <v>0</v>
      </c>
      <c r="F20" s="73">
        <f>IF($C173="$/kwh",F173*100,IF($C173="$/mwh",F173*100/1000,F173))-IF('Input Global'!$B$63="yes",F31,0)</f>
        <v>0</v>
      </c>
      <c r="G20" s="73">
        <f>IF($C173="$/kwh",G173*100,IF($C173="$/mwh",G173*100/1000,G173))-IF('Input Global'!$B$63="yes",G31,0)</f>
        <v>0</v>
      </c>
      <c r="H20" s="73">
        <f>IF($C173="$/kwh",H173*100,IF($C173="$/mwh",H173*100/1000,H173))-IF('Input Global'!$B$63="yes",H31,0)</f>
        <v>0</v>
      </c>
    </row>
    <row r="21" spans="1:8" s="34" customFormat="1" x14ac:dyDescent="0.3">
      <c r="D21" s="38"/>
      <c r="E21" s="38"/>
      <c r="F21" s="38"/>
      <c r="G21" s="38"/>
      <c r="H21" s="38"/>
    </row>
    <row r="22" spans="1:8" s="34" customFormat="1" x14ac:dyDescent="0.3">
      <c r="A22" s="21" t="s">
        <v>86</v>
      </c>
      <c r="D22" s="38"/>
      <c r="E22" s="38"/>
      <c r="F22" s="38"/>
      <c r="G22" s="38"/>
      <c r="H22" s="38"/>
    </row>
    <row r="23" spans="1:8" s="34" customFormat="1" x14ac:dyDescent="0.3">
      <c r="A23" s="34" t="str">
        <f>Dist1</f>
        <v>ActewAGL</v>
      </c>
      <c r="B23" s="34" t="s">
        <v>25</v>
      </c>
      <c r="C23" s="34" t="s">
        <v>29</v>
      </c>
      <c r="D23" s="74">
        <f>IF($C179="$/pa",D179*100,D179)</f>
        <v>4668.3499999999995</v>
      </c>
      <c r="E23" s="74">
        <f>IF($C179="$/pa",E179*100,E179)</f>
        <v>4654</v>
      </c>
      <c r="F23" s="74">
        <f>IF($C179="$/pa",F179*100,F179)</f>
        <v>4654</v>
      </c>
      <c r="G23" s="74">
        <f>IF($C179="$/pa",G179*100,G179)</f>
        <v>4770.3499999999995</v>
      </c>
      <c r="H23" s="74">
        <f>IF($C179="$/pa",H179*100,H179)</f>
        <v>4889.6087499999994</v>
      </c>
    </row>
    <row r="24" spans="1:8" s="34" customFormat="1" x14ac:dyDescent="0.3">
      <c r="D24" s="38"/>
      <c r="E24" s="38"/>
      <c r="F24" s="38"/>
      <c r="G24" s="38"/>
      <c r="H24" s="38"/>
    </row>
    <row r="25" spans="1:8" s="34" customFormat="1" x14ac:dyDescent="0.3">
      <c r="A25" s="21" t="s">
        <v>13</v>
      </c>
      <c r="D25" s="38"/>
      <c r="E25" s="38"/>
      <c r="F25" s="38"/>
      <c r="G25" s="38"/>
      <c r="H25" s="38"/>
    </row>
    <row r="26" spans="1:8" s="34" customFormat="1" x14ac:dyDescent="0.3">
      <c r="A26" s="37" t="str">
        <f>Dist1</f>
        <v>ActewAGL</v>
      </c>
      <c r="D26" s="38"/>
      <c r="E26" s="38"/>
      <c r="F26" s="38"/>
      <c r="G26" s="38"/>
      <c r="H26" s="38"/>
    </row>
    <row r="27" spans="1:8" s="34" customFormat="1" x14ac:dyDescent="0.3">
      <c r="A27" s="39" t="s">
        <v>18</v>
      </c>
      <c r="B27" s="34" t="s">
        <v>25</v>
      </c>
      <c r="C27" s="34" t="s">
        <v>29</v>
      </c>
      <c r="D27" s="73">
        <f>IF($C184="$/pa",D184*100,D184)</f>
        <v>0</v>
      </c>
      <c r="E27" s="98">
        <f t="shared" ref="E27:H27" si="2">IF($C184="$/pa",E184*100,E184)</f>
        <v>318.40909090909093</v>
      </c>
      <c r="F27" s="98">
        <f t="shared" si="2"/>
        <v>408.62066473988438</v>
      </c>
      <c r="G27" s="98">
        <f t="shared" si="2"/>
        <v>497.94551169694</v>
      </c>
      <c r="H27" s="98">
        <f t="shared" si="2"/>
        <v>538.00647297673811</v>
      </c>
    </row>
    <row r="28" spans="1:8" s="34" customFormat="1" x14ac:dyDescent="0.3">
      <c r="A28" s="39" t="s">
        <v>19</v>
      </c>
      <c r="B28" s="34" t="s">
        <v>25</v>
      </c>
      <c r="C28" s="34" t="s">
        <v>11</v>
      </c>
      <c r="D28" s="73">
        <f>IF($C185="$/mwh",D185*100/1000,IF($C185="$/kwh",D185*100,D185))</f>
        <v>0</v>
      </c>
      <c r="E28" s="73">
        <f>IF($C185="$/mwh",E185*100/1000,IF($C185="$/kwh",E185*100,E185))</f>
        <v>0.29271481942714817</v>
      </c>
      <c r="F28" s="73">
        <f>IF($C185="$/mwh",F185*100/1000,IF($C185="$/kwh",F185*100,F185))</f>
        <v>0.36213352601156062</v>
      </c>
      <c r="G28" s="73">
        <f>IF($C185="$/mwh",G185*100/1000,IF($C185="$/kwh",G185*100,G185))</f>
        <v>0.43182783518440548</v>
      </c>
      <c r="H28" s="73">
        <f>IF($C185="$/mwh",H185*100/1000,IF($C185="$/kwh",H185*100,H185))</f>
        <v>0.46656946409457883</v>
      </c>
    </row>
    <row r="29" spans="1:8" s="34" customFormat="1" x14ac:dyDescent="0.3">
      <c r="A29" s="39" t="s">
        <v>20</v>
      </c>
      <c r="B29" s="34" t="s">
        <v>25</v>
      </c>
      <c r="C29" s="34" t="s">
        <v>11</v>
      </c>
      <c r="D29" s="73">
        <f t="shared" ref="D29:H29" si="3">IF($C186="$/mwh",D186*100/1000,IF($C186="$/kwh",D186*100,D186))</f>
        <v>0</v>
      </c>
      <c r="E29" s="73">
        <f t="shared" si="3"/>
        <v>0</v>
      </c>
      <c r="F29" s="73">
        <f t="shared" si="3"/>
        <v>0</v>
      </c>
      <c r="G29" s="73">
        <f t="shared" si="3"/>
        <v>0</v>
      </c>
      <c r="H29" s="73">
        <f t="shared" si="3"/>
        <v>0</v>
      </c>
    </row>
    <row r="30" spans="1:8" s="34" customFormat="1" x14ac:dyDescent="0.3">
      <c r="A30" s="39" t="s">
        <v>21</v>
      </c>
      <c r="B30" s="34" t="s">
        <v>25</v>
      </c>
      <c r="C30" s="34" t="s">
        <v>11</v>
      </c>
      <c r="D30" s="73">
        <f t="shared" ref="D30:H31" si="4">IF($C187="$/mwh",D187*100/1000,IF($C187="$/kwh",D187*100,D187))</f>
        <v>0</v>
      </c>
      <c r="E30" s="73">
        <f t="shared" si="4"/>
        <v>0</v>
      </c>
      <c r="F30" s="73">
        <f t="shared" si="4"/>
        <v>0</v>
      </c>
      <c r="G30" s="73">
        <f t="shared" si="4"/>
        <v>0</v>
      </c>
      <c r="H30" s="73">
        <f t="shared" si="4"/>
        <v>0</v>
      </c>
    </row>
    <row r="31" spans="1:8" s="34" customFormat="1" x14ac:dyDescent="0.3">
      <c r="A31" s="39" t="s">
        <v>84</v>
      </c>
      <c r="B31" s="34" t="s">
        <v>25</v>
      </c>
      <c r="C31" s="34" t="s">
        <v>11</v>
      </c>
      <c r="D31" s="73">
        <f t="shared" si="4"/>
        <v>0</v>
      </c>
      <c r="E31" s="73">
        <f t="shared" si="4"/>
        <v>0</v>
      </c>
      <c r="F31" s="73">
        <f t="shared" si="4"/>
        <v>0</v>
      </c>
      <c r="G31" s="73">
        <f t="shared" si="4"/>
        <v>0</v>
      </c>
      <c r="H31" s="73">
        <f t="shared" si="4"/>
        <v>0</v>
      </c>
    </row>
    <row r="32" spans="1:8" s="34" customFormat="1" x14ac:dyDescent="0.3">
      <c r="A32" s="39"/>
      <c r="D32" s="38"/>
      <c r="E32" s="38"/>
      <c r="F32" s="38"/>
      <c r="G32" s="38"/>
      <c r="H32" s="38"/>
    </row>
    <row r="33" spans="1:9" s="34" customFormat="1" x14ac:dyDescent="0.3">
      <c r="A33" s="21" t="s">
        <v>22</v>
      </c>
      <c r="D33" s="38"/>
      <c r="E33" s="38"/>
      <c r="F33" s="38"/>
      <c r="G33" s="38"/>
      <c r="H33" s="38"/>
    </row>
    <row r="34" spans="1:9" s="34" customFormat="1" x14ac:dyDescent="0.3">
      <c r="A34" s="37" t="str">
        <f>Dist1&amp;" region"</f>
        <v>ActewAGL region</v>
      </c>
      <c r="D34" s="38"/>
      <c r="E34" s="38"/>
      <c r="F34" s="38"/>
      <c r="G34" s="38"/>
      <c r="H34" s="38"/>
    </row>
    <row r="35" spans="1:9" s="34" customFormat="1" x14ac:dyDescent="0.3">
      <c r="A35" s="34" t="s">
        <v>19</v>
      </c>
      <c r="B35" s="34" t="s">
        <v>25</v>
      </c>
      <c r="C35" s="34" t="s">
        <v>23</v>
      </c>
      <c r="D35" s="76">
        <f t="shared" ref="D35:H38" si="5">IF(D$196=0,0,D192/D$196)</f>
        <v>1</v>
      </c>
      <c r="E35" s="76">
        <f t="shared" si="5"/>
        <v>1</v>
      </c>
      <c r="F35" s="76">
        <f t="shared" si="5"/>
        <v>1</v>
      </c>
      <c r="G35" s="76">
        <f t="shared" si="5"/>
        <v>1</v>
      </c>
      <c r="H35" s="76">
        <f t="shared" si="5"/>
        <v>1</v>
      </c>
    </row>
    <row r="36" spans="1:9" s="34" customFormat="1" x14ac:dyDescent="0.3">
      <c r="A36" s="34" t="s">
        <v>20</v>
      </c>
      <c r="B36" s="34" t="s">
        <v>25</v>
      </c>
      <c r="C36" s="34" t="s">
        <v>23</v>
      </c>
      <c r="D36" s="76">
        <f t="shared" si="5"/>
        <v>0</v>
      </c>
      <c r="E36" s="76">
        <f t="shared" si="5"/>
        <v>0</v>
      </c>
      <c r="F36" s="76">
        <f t="shared" si="5"/>
        <v>0</v>
      </c>
      <c r="G36" s="76">
        <f t="shared" si="5"/>
        <v>0</v>
      </c>
      <c r="H36" s="76">
        <f t="shared" si="5"/>
        <v>0</v>
      </c>
    </row>
    <row r="37" spans="1:9" s="34" customFormat="1" x14ac:dyDescent="0.3">
      <c r="A37" s="34" t="s">
        <v>21</v>
      </c>
      <c r="B37" s="34" t="s">
        <v>25</v>
      </c>
      <c r="C37" s="34" t="s">
        <v>23</v>
      </c>
      <c r="D37" s="76">
        <f t="shared" si="5"/>
        <v>0</v>
      </c>
      <c r="E37" s="76">
        <f t="shared" si="5"/>
        <v>0</v>
      </c>
      <c r="F37" s="76">
        <f t="shared" si="5"/>
        <v>0</v>
      </c>
      <c r="G37" s="76">
        <f t="shared" si="5"/>
        <v>0</v>
      </c>
      <c r="H37" s="76">
        <f t="shared" si="5"/>
        <v>0</v>
      </c>
    </row>
    <row r="38" spans="1:9" s="34" customFormat="1" x14ac:dyDescent="0.3">
      <c r="A38" s="34" t="s">
        <v>84</v>
      </c>
      <c r="B38" s="34" t="s">
        <v>25</v>
      </c>
      <c r="C38" s="34" t="s">
        <v>23</v>
      </c>
      <c r="D38" s="76">
        <f t="shared" si="5"/>
        <v>0</v>
      </c>
      <c r="E38" s="76">
        <f t="shared" si="5"/>
        <v>0</v>
      </c>
      <c r="F38" s="76">
        <f t="shared" si="5"/>
        <v>0</v>
      </c>
      <c r="G38" s="76">
        <f t="shared" si="5"/>
        <v>0</v>
      </c>
      <c r="H38" s="76">
        <f t="shared" si="5"/>
        <v>0</v>
      </c>
    </row>
    <row r="39" spans="1:9" s="34" customFormat="1" x14ac:dyDescent="0.3"/>
    <row r="40" spans="1:9" s="36" customFormat="1" ht="18.75" x14ac:dyDescent="0.3">
      <c r="A40" s="35" t="s">
        <v>120</v>
      </c>
    </row>
    <row r="41" spans="1:9" s="34" customFormat="1" x14ac:dyDescent="0.3">
      <c r="A41" s="37" t="str">
        <f>Dist1</f>
        <v>ActewAGL</v>
      </c>
    </row>
    <row r="42" spans="1:9" s="34" customFormat="1" x14ac:dyDescent="0.3">
      <c r="A42" s="39" t="s">
        <v>64</v>
      </c>
      <c r="B42" s="96" t="s">
        <v>25</v>
      </c>
      <c r="C42" s="34" t="s">
        <v>11</v>
      </c>
      <c r="D42" s="73">
        <f>IF(VLOOKUP($A42,$A$84:$H$92,3,FALSE)="$/kWh",VLOOKUP($A42,$A$84:$H$92,COLUMN(D42),FALSE)*100,IF(VLOOKUP($A42,$A$84:$H$92,3,FALSE)="$/mWh",VLOOKUP($A42,$A$84:$H$92,COLUMN(D42),FALSE)*100/1000,VLOOKUP($A42,$A$84:$H$92,COLUMN(D42),FALSE)))</f>
        <v>1.056</v>
      </c>
      <c r="E42" s="73">
        <f>IF(VLOOKUP($A42,$A$84:$H$92,3,FALSE)="$/kWh",VLOOKUP($A42,$A$84:$H$92,COLUMN(E42),FALSE)*100,IF(VLOOKUP($A42,$A$84:$H$92,3,FALSE)="$/mWh",VLOOKUP($A42,$A$84:$H$92,COLUMN(E42),FALSE)*100/1000,VLOOKUP($A42,$A$84:$H$92,COLUMN(E42),FALSE)))</f>
        <v>1.0860000000000001</v>
      </c>
      <c r="F42" s="73">
        <f>IF(VLOOKUP($A42,$A$84:$H$92,3,FALSE)="$/kWh",VLOOKUP($A42,$A$84:$H$92,COLUMN(F42),FALSE)*100,IF(VLOOKUP($A42,$A$84:$H$92,3,FALSE)="$/mWh",VLOOKUP($A42,$A$84:$H$92,COLUMN(F42),FALSE)*100/1000,VLOOKUP($A42,$A$84:$H$92,COLUMN(F42),FALSE)))</f>
        <v>1.1131499999999999</v>
      </c>
      <c r="G42" s="73">
        <f>IF(VLOOKUP($A42,$A$84:$H$92,3,FALSE)="$/kWh",VLOOKUP($A42,$A$84:$H$92,COLUMN(G42),FALSE)*100,IF(VLOOKUP($A42,$A$84:$H$92,3,FALSE)="$/mWh",VLOOKUP($A42,$A$84:$H$92,COLUMN(G42),FALSE)*100/1000,VLOOKUP($A42,$A$84:$H$92,COLUMN(G42),FALSE)))</f>
        <v>1.1409787499999997</v>
      </c>
      <c r="H42" s="73">
        <f>IF(VLOOKUP($A42,$A$84:$H$92,3,FALSE)="$/kWh",VLOOKUP($A42,$A$84:$H$92,COLUMN(H42),FALSE)*100,IF(VLOOKUP($A42,$A$84:$H$92,3,FALSE)="$/mWh",VLOOKUP($A42,$A$84:$H$92,COLUMN(H42),FALSE)*100/1000,VLOOKUP($A42,$A$84:$H$92,COLUMN(H42),FALSE)))</f>
        <v>1.1695032187499996</v>
      </c>
    </row>
    <row r="43" spans="1:9" s="34" customFormat="1" x14ac:dyDescent="0.3">
      <c r="A43" s="39" t="s">
        <v>70</v>
      </c>
      <c r="B43" s="96" t="s">
        <v>25</v>
      </c>
      <c r="C43" s="34" t="s">
        <v>11</v>
      </c>
      <c r="D43" s="73">
        <f ca="1">IF(VLOOKUP($A43,dist1Retail,3,FALSE)="$/kWh",VLOOKUP($A43,dist1Retail,COLUMN(D43),FALSE)*100,IF(VLOOKUP($A43,dist1Retail,3,FALSE)="$/mWh",VLOOKUP($A43,dist1Retail,COLUMN(D43),FALSE)*100/1000,VLOOKUP($A43,dist1Retail,COLUMN(D43),FALSE)))+(VLOOKUP(OFFSET(D43,-2,-1*(COLUMN(D43)-1)),$A$129:$H$129,COLUMN(D43),FALSE))</f>
        <v>0.32036490008688107</v>
      </c>
      <c r="E43" s="73">
        <f ca="1">IF(VLOOKUP($A43,dist1Retail,3,FALSE)="$/kWh",VLOOKUP($A43,dist1Retail,COLUMN(E43),FALSE)*100,IF(VLOOKUP($A43,dist1Retail,3,FALSE)="$/mWh",VLOOKUP($A43,dist1Retail,COLUMN(E43),FALSE)*100/1000,VLOOKUP($A43,dist1Retail,COLUMN(E43),FALSE)))+(VLOOKUP(OFFSET(E43,-2,-1*(COLUMN(E43)-1)),$A$129:$H$129,COLUMN(E43),FALSE))</f>
        <v>0.81739704604691588</v>
      </c>
      <c r="F43" s="73">
        <f ca="1">IF(VLOOKUP($A43,dist1Retail,3,FALSE)="$/kWh",VLOOKUP($A43,dist1Retail,COLUMN(F43),FALSE)*100,IF(VLOOKUP($A43,dist1Retail,3,FALSE)="$/mWh",VLOOKUP($A43,dist1Retail,COLUMN(F43),FALSE)*100/1000,VLOOKUP($A43,dist1Retail,COLUMN(F43),FALSE)))+(VLOOKUP(OFFSET(F43,-2,-1*(COLUMN(F43)-1)),$A$129:$H$129,COLUMN(F43),FALSE))</f>
        <v>0.71599999999999997</v>
      </c>
      <c r="G43" s="73">
        <f ca="1">IF(VLOOKUP($A43,dist1Retail,3,FALSE)="$/kWh",VLOOKUP($A43,dist1Retail,COLUMN(G43),FALSE)*100,IF(VLOOKUP($A43,dist1Retail,3,FALSE)="$/mWh",VLOOKUP($A43,dist1Retail,COLUMN(G43),FALSE)*100/1000,VLOOKUP($A43,dist1Retail,COLUMN(G43),FALSE)))+(VLOOKUP(OFFSET(G43,-2,-1*(COLUMN(G43)-1)),$A$129:$H$129,COLUMN(G43),FALSE))</f>
        <v>0.31512978056426327</v>
      </c>
      <c r="H43" s="73">
        <f ca="1">IF(VLOOKUP($A43,dist1Retail,3,FALSE)="$/kWh",VLOOKUP($A43,dist1Retail,COLUMN(H43),FALSE)*100,IF(VLOOKUP($A43,dist1Retail,3,FALSE)="$/mWh",VLOOKUP($A43,dist1Retail,COLUMN(H43),FALSE)*100/1000,VLOOKUP($A43,dist1Retail,COLUMN(H43),FALSE)))+(VLOOKUP(OFFSET(H43,-2,-1*(COLUMN(H43)-1)),$A$129:$H$129,COLUMN(H43),FALSE))</f>
        <v>0.27383072100313477</v>
      </c>
    </row>
    <row r="44" spans="1:9" s="34" customFormat="1" x14ac:dyDescent="0.3">
      <c r="A44" s="21"/>
      <c r="D44" s="38"/>
      <c r="E44" s="38"/>
      <c r="F44" s="38"/>
      <c r="G44" s="38"/>
      <c r="H44" s="38"/>
    </row>
    <row r="45" spans="1:9" s="34" customFormat="1" x14ac:dyDescent="0.3">
      <c r="A45" s="21" t="str">
        <f>Scheme1</f>
        <v>Greenhouse gas abatement scheme</v>
      </c>
      <c r="D45" s="38"/>
      <c r="E45" s="38"/>
      <c r="F45" s="38"/>
      <c r="G45" s="38"/>
      <c r="H45" s="38"/>
    </row>
    <row r="46" spans="1:9" s="34" customFormat="1" x14ac:dyDescent="0.3">
      <c r="A46" s="37" t="str">
        <f>Dist1</f>
        <v>ActewAGL</v>
      </c>
      <c r="D46" s="38"/>
      <c r="E46" s="38"/>
      <c r="F46" s="38"/>
      <c r="G46" s="38"/>
      <c r="H46" s="38"/>
    </row>
    <row r="47" spans="1:9" s="34" customFormat="1" x14ac:dyDescent="0.3">
      <c r="A47" s="34" t="str">
        <f ca="1">'Calc (Jurisdiction)'!$B$2</f>
        <v>Calc (Jurisdiction)</v>
      </c>
      <c r="B47" s="96" t="s">
        <v>25</v>
      </c>
      <c r="C47" s="34" t="s">
        <v>11</v>
      </c>
      <c r="D47" s="73">
        <f t="shared" ref="D47:H49" ca="1" si="6">IF(LEFT($A$45,5)="blank",0,IF(LEFT($A$46,5)="blank",0,IF(LEFT($A47,5)="blank",0,D$91+VLOOKUP($A47,dist1scheme1,COLUMN(D47),FALSE))))</f>
        <v>0.105</v>
      </c>
      <c r="E47" s="73">
        <f t="shared" ca="1" si="6"/>
        <v>0.11299999999999999</v>
      </c>
      <c r="F47" s="73">
        <f t="shared" ca="1" si="6"/>
        <v>0</v>
      </c>
      <c r="G47" s="73">
        <f t="shared" ca="1" si="6"/>
        <v>0</v>
      </c>
      <c r="H47" s="73">
        <f t="shared" ca="1" si="6"/>
        <v>0</v>
      </c>
      <c r="I47" s="40"/>
    </row>
    <row r="48" spans="1:9" s="96" customFormat="1" x14ac:dyDescent="0.3">
      <c r="A48" s="96" t="str">
        <f ca="1">'Calc (Market Planning Case)'!$B$2</f>
        <v>Calc (Market Planning Case)</v>
      </c>
      <c r="B48" s="96" t="s">
        <v>25</v>
      </c>
      <c r="C48" s="96" t="s">
        <v>11</v>
      </c>
      <c r="D48" s="98">
        <f t="shared" ca="1" si="6"/>
        <v>0.105</v>
      </c>
      <c r="E48" s="98">
        <f t="shared" ca="1" si="6"/>
        <v>0.11299999999999999</v>
      </c>
      <c r="F48" s="98">
        <f t="shared" ca="1" si="6"/>
        <v>0</v>
      </c>
      <c r="G48" s="98">
        <f t="shared" ca="1" si="6"/>
        <v>0</v>
      </c>
      <c r="H48" s="98">
        <f t="shared" ca="1" si="6"/>
        <v>0</v>
      </c>
      <c r="I48" s="40"/>
    </row>
    <row r="49" spans="1:9" s="96" customFormat="1" x14ac:dyDescent="0.3">
      <c r="A49" s="96" t="str">
        <f ca="1">'Calc (Market Slow Rate)'!$B$2</f>
        <v>Calc (Market Slow Rate)</v>
      </c>
      <c r="B49" s="96" t="s">
        <v>25</v>
      </c>
      <c r="C49" s="96" t="s">
        <v>11</v>
      </c>
      <c r="D49" s="98">
        <f t="shared" ca="1" si="6"/>
        <v>0.105</v>
      </c>
      <c r="E49" s="98">
        <f t="shared" ca="1" si="6"/>
        <v>0.11299999999999999</v>
      </c>
      <c r="F49" s="98">
        <f t="shared" ca="1" si="6"/>
        <v>0</v>
      </c>
      <c r="G49" s="98">
        <f t="shared" ca="1" si="6"/>
        <v>0</v>
      </c>
      <c r="H49" s="98">
        <f t="shared" ca="1" si="6"/>
        <v>0</v>
      </c>
      <c r="I49" s="40"/>
    </row>
    <row r="50" spans="1:9" s="34" customFormat="1" x14ac:dyDescent="0.3">
      <c r="A50" s="21"/>
      <c r="D50" s="38"/>
      <c r="E50" s="38"/>
      <c r="F50" s="38"/>
      <c r="G50" s="38"/>
      <c r="H50" s="38"/>
    </row>
    <row r="51" spans="1:9" s="34" customFormat="1" x14ac:dyDescent="0.3">
      <c r="A51" s="21" t="str">
        <f>Scheme2</f>
        <v>Energy Savings</v>
      </c>
      <c r="D51" s="38"/>
      <c r="E51" s="38"/>
      <c r="F51" s="38"/>
      <c r="G51" s="38"/>
      <c r="H51" s="38"/>
    </row>
    <row r="52" spans="1:9" s="34" customFormat="1" x14ac:dyDescent="0.3">
      <c r="A52" s="37" t="str">
        <f>Dist1</f>
        <v>ActewAGL</v>
      </c>
      <c r="D52" s="38"/>
      <c r="E52" s="38"/>
      <c r="F52" s="38"/>
      <c r="G52" s="38"/>
      <c r="H52" s="38"/>
    </row>
    <row r="53" spans="1:9" s="34" customFormat="1" x14ac:dyDescent="0.3">
      <c r="A53" s="34" t="str">
        <f ca="1">A47</f>
        <v>Calc (Jurisdiction)</v>
      </c>
      <c r="B53" s="96" t="s">
        <v>25</v>
      </c>
      <c r="C53" s="34" t="s">
        <v>11</v>
      </c>
      <c r="D53" s="73">
        <f t="shared" ref="D53:H55" ca="1" si="7">IF(LEFT($A$51,5)="blank",0,IF(LEFT($A53,5)="blank",0,D$92+VLOOKUP($A53,dist1scheme2,COLUMN(D47),FALSE)))</f>
        <v>0</v>
      </c>
      <c r="E53" s="73">
        <f t="shared" ca="1" si="7"/>
        <v>0</v>
      </c>
      <c r="F53" s="73">
        <f t="shared" ca="1" si="7"/>
        <v>0.11200000000000002</v>
      </c>
      <c r="G53" s="73">
        <f t="shared" ca="1" si="7"/>
        <v>0.308</v>
      </c>
      <c r="H53" s="73">
        <f t="shared" ca="1" si="7"/>
        <v>0.39200000000000007</v>
      </c>
      <c r="I53" s="40"/>
    </row>
    <row r="54" spans="1:9" s="96" customFormat="1" x14ac:dyDescent="0.3">
      <c r="A54" s="96" t="str">
        <f t="shared" ref="A54:A55" ca="1" si="8">A48</f>
        <v>Calc (Market Planning Case)</v>
      </c>
      <c r="B54" s="96" t="s">
        <v>25</v>
      </c>
      <c r="C54" s="96" t="s">
        <v>11</v>
      </c>
      <c r="D54" s="98">
        <f t="shared" ca="1" si="7"/>
        <v>0</v>
      </c>
      <c r="E54" s="98">
        <f t="shared" ca="1" si="7"/>
        <v>0</v>
      </c>
      <c r="F54" s="98">
        <f t="shared" ca="1" si="7"/>
        <v>0.11200000000000002</v>
      </c>
      <c r="G54" s="98">
        <f t="shared" ca="1" si="7"/>
        <v>0.308</v>
      </c>
      <c r="H54" s="98">
        <f t="shared" ca="1" si="7"/>
        <v>0.39200000000000007</v>
      </c>
      <c r="I54" s="40"/>
    </row>
    <row r="55" spans="1:9" s="96" customFormat="1" x14ac:dyDescent="0.3">
      <c r="A55" s="96" t="str">
        <f t="shared" ca="1" si="8"/>
        <v>Calc (Market Slow Rate)</v>
      </c>
      <c r="B55" s="96" t="s">
        <v>25</v>
      </c>
      <c r="C55" s="96" t="s">
        <v>11</v>
      </c>
      <c r="D55" s="98">
        <f t="shared" ca="1" si="7"/>
        <v>0</v>
      </c>
      <c r="E55" s="98">
        <f t="shared" ca="1" si="7"/>
        <v>0</v>
      </c>
      <c r="F55" s="98">
        <f t="shared" ca="1" si="7"/>
        <v>0.11200000000000002</v>
      </c>
      <c r="G55" s="98">
        <f t="shared" ca="1" si="7"/>
        <v>0.308</v>
      </c>
      <c r="H55" s="98">
        <f t="shared" ca="1" si="7"/>
        <v>0.39200000000000007</v>
      </c>
      <c r="I55" s="40"/>
    </row>
    <row r="56" spans="1:9" s="34" customFormat="1" x14ac:dyDescent="0.3">
      <c r="A56" s="21"/>
    </row>
    <row r="57" spans="1:9" s="34" customFormat="1" x14ac:dyDescent="0.3">
      <c r="A57" s="21" t="s">
        <v>80</v>
      </c>
    </row>
    <row r="58" spans="1:9" s="34" customFormat="1" x14ac:dyDescent="0.3">
      <c r="A58" s="37" t="str">
        <f>Dist1</f>
        <v>ActewAGL</v>
      </c>
      <c r="I58" s="42"/>
    </row>
    <row r="59" spans="1:9" s="34" customFormat="1" x14ac:dyDescent="0.3">
      <c r="A59" s="34" t="str">
        <f ca="1">A53</f>
        <v>Calc (Jurisdiction)</v>
      </c>
      <c r="B59" s="96" t="s">
        <v>25</v>
      </c>
      <c r="C59" s="96" t="s">
        <v>126</v>
      </c>
      <c r="D59" s="75">
        <f ca="1">IF('Input Global'!$B$62="no",SUM(INDIRECT("'"&amp;$A59&amp;"'!D8:D11"),INDIRECT("'"&amp;$A59&amp;"'!D14:D19")),SUM(INDIRECT("'"&amp;$A59&amp;"'!D8"),SUM(INDIRECT("'"&amp;$A59&amp;"'!D11"),INDIRECT("'"&amp;$A59&amp;"'!D14:D19"))))</f>
        <v>123323.4768448</v>
      </c>
      <c r="E59" s="75">
        <f ca="1">IF('Input Global'!$B$62="no",SUM(INDIRECT("'"&amp;$A59&amp;"'!E8:E11"),INDIRECT("'"&amp;$A59&amp;"'!E14:E19")),SUM(INDIRECT("'"&amp;$A59&amp;"'!E8"),SUM(INDIRECT("'"&amp;$A59&amp;"'!E11"),INDIRECT("'"&amp;$A59&amp;"'!E14:E19"))))</f>
        <v>130736.43790399999</v>
      </c>
      <c r="F59" s="75">
        <f ca="1">IF('Input Global'!$B$62="no",SUM(INDIRECT("'"&amp;$A59&amp;"'!F8:F11"),INDIRECT("'"&amp;$A59&amp;"'!F14:F19")),SUM(INDIRECT("'"&amp;$A59&amp;"'!F8"),SUM(INDIRECT("'"&amp;$A59&amp;"'!F11"),INDIRECT("'"&amp;$A59&amp;"'!F14:F19"))))</f>
        <v>147500.43359999999</v>
      </c>
      <c r="G59" s="75">
        <f ca="1">IF('Input Global'!$B$62="no",SUM(INDIRECT("'"&amp;$A59&amp;"'!G8:G11"),INDIRECT("'"&amp;$A59&amp;"'!G14:G19")),SUM(INDIRECT("'"&amp;$A59&amp;"'!G8"),SUM(INDIRECT("'"&amp;$A59&amp;"'!G11"),INDIRECT("'"&amp;$A59&amp;"'!G14:G19"))))</f>
        <v>149591.39190849263</v>
      </c>
      <c r="H59" s="75">
        <f ca="1">IF('Input Global'!$B$62="no",SUM(INDIRECT("'"&amp;$A59&amp;"'!H8:H11"),INDIRECT("'"&amp;$A59&amp;"'!H14:H19")),SUM(INDIRECT("'"&amp;$A59&amp;"'!H8"),SUM(INDIRECT("'"&amp;$A59&amp;"'!H11"),INDIRECT("'"&amp;$A59&amp;"'!H14:H19"))))</f>
        <v>156525.04131278468</v>
      </c>
      <c r="I59" s="43"/>
    </row>
    <row r="60" spans="1:9" s="96" customFormat="1" x14ac:dyDescent="0.3">
      <c r="A60" s="96" t="str">
        <f t="shared" ref="A60:A61" ca="1" si="9">A54</f>
        <v>Calc (Market Planning Case)</v>
      </c>
      <c r="B60" s="96" t="s">
        <v>25</v>
      </c>
      <c r="C60" s="96" t="s">
        <v>126</v>
      </c>
      <c r="D60" s="99">
        <f ca="1">IF('Input Global'!$B$62="no",SUM(INDIRECT("'"&amp;$A60&amp;"'!D8:D11"),INDIRECT("'"&amp;$A60&amp;"'!D14:D19")),SUM(INDIRECT("'"&amp;$A60&amp;"'!D8"),SUM(INDIRECT("'"&amp;$A60&amp;"'!D11"),INDIRECT("'"&amp;$A60&amp;"'!D14:D19"))))</f>
        <v>123323.4768448</v>
      </c>
      <c r="E60" s="99">
        <f ca="1">IF('Input Global'!$B$62="no",SUM(INDIRECT("'"&amp;$A60&amp;"'!E8:E11"),INDIRECT("'"&amp;$A60&amp;"'!E14:E19")),SUM(INDIRECT("'"&amp;$A60&amp;"'!E8"),SUM(INDIRECT("'"&amp;$A60&amp;"'!E11"),INDIRECT("'"&amp;$A60&amp;"'!E14:E19"))))</f>
        <v>130736.43790399999</v>
      </c>
      <c r="F60" s="99">
        <f ca="1">IF('Input Global'!$B$62="no",SUM(INDIRECT("'"&amp;$A60&amp;"'!F8:F11"),INDIRECT("'"&amp;$A60&amp;"'!F14:F19")),SUM(INDIRECT("'"&amp;$A60&amp;"'!F8"),SUM(INDIRECT("'"&amp;$A60&amp;"'!F11"),INDIRECT("'"&amp;$A60&amp;"'!F14:F19"))))</f>
        <v>147500.43359999999</v>
      </c>
      <c r="G60" s="99">
        <f ca="1">IF('Input Global'!$B$62="no",SUM(INDIRECT("'"&amp;$A60&amp;"'!G8:G11"),INDIRECT("'"&amp;$A60&amp;"'!G14:G19")),SUM(INDIRECT("'"&amp;$A60&amp;"'!G8"),SUM(INDIRECT("'"&amp;$A60&amp;"'!G11"),INDIRECT("'"&amp;$A60&amp;"'!G14:G19"))))</f>
        <v>149591.39190849263</v>
      </c>
      <c r="H60" s="99">
        <f ca="1">IF('Input Global'!$B$62="no",SUM(INDIRECT("'"&amp;$A60&amp;"'!H8:H11"),INDIRECT("'"&amp;$A60&amp;"'!H14:H19")),SUM(INDIRECT("'"&amp;$A60&amp;"'!H8"),SUM(INDIRECT("'"&amp;$A60&amp;"'!H11"),INDIRECT("'"&amp;$A60&amp;"'!H14:H19"))))</f>
        <v>156525.04131278468</v>
      </c>
      <c r="I60" s="43"/>
    </row>
    <row r="61" spans="1:9" s="96" customFormat="1" x14ac:dyDescent="0.3">
      <c r="A61" s="96" t="str">
        <f t="shared" ca="1" si="9"/>
        <v>Calc (Market Slow Rate)</v>
      </c>
      <c r="B61" s="96" t="s">
        <v>25</v>
      </c>
      <c r="C61" s="96" t="s">
        <v>126</v>
      </c>
      <c r="D61" s="99">
        <f ca="1">IF('Input Global'!$B$62="no",SUM(INDIRECT("'"&amp;$A61&amp;"'!D8:D11"),INDIRECT("'"&amp;$A61&amp;"'!D14:D19")),SUM(INDIRECT("'"&amp;$A61&amp;"'!D8"),SUM(INDIRECT("'"&amp;$A61&amp;"'!D11"),INDIRECT("'"&amp;$A61&amp;"'!D14:D19"))))</f>
        <v>123323.4768448</v>
      </c>
      <c r="E61" s="99">
        <f ca="1">IF('Input Global'!$B$62="no",SUM(INDIRECT("'"&amp;$A61&amp;"'!E8:E11"),INDIRECT("'"&amp;$A61&amp;"'!E14:E19")),SUM(INDIRECT("'"&amp;$A61&amp;"'!E8"),SUM(INDIRECT("'"&amp;$A61&amp;"'!E11"),INDIRECT("'"&amp;$A61&amp;"'!E14:E19"))))</f>
        <v>130736.43790399999</v>
      </c>
      <c r="F61" s="99">
        <f ca="1">IF('Input Global'!$B$62="no",SUM(INDIRECT("'"&amp;$A61&amp;"'!F8:F11"),INDIRECT("'"&amp;$A61&amp;"'!F14:F19")),SUM(INDIRECT("'"&amp;$A61&amp;"'!F8"),SUM(INDIRECT("'"&amp;$A61&amp;"'!F11"),INDIRECT("'"&amp;$A61&amp;"'!F14:F19"))))</f>
        <v>147500.43359999999</v>
      </c>
      <c r="G61" s="99">
        <f ca="1">IF('Input Global'!$B$62="no",SUM(INDIRECT("'"&amp;$A61&amp;"'!G8:G11"),INDIRECT("'"&amp;$A61&amp;"'!G14:G19")),SUM(INDIRECT("'"&amp;$A61&amp;"'!G8"),SUM(INDIRECT("'"&amp;$A61&amp;"'!G11"),INDIRECT("'"&amp;$A61&amp;"'!G14:G19"))))</f>
        <v>153230.81201095207</v>
      </c>
      <c r="H61" s="99">
        <f ca="1">IF('Input Global'!$B$62="no",SUM(INDIRECT("'"&amp;$A61&amp;"'!H8:H11"),INDIRECT("'"&amp;$A61&amp;"'!H14:H19")),SUM(INDIRECT("'"&amp;$A61&amp;"'!H8"),SUM(INDIRECT("'"&amp;$A61&amp;"'!H11"),INDIRECT("'"&amp;$A61&amp;"'!H14:H19"))))</f>
        <v>156563.38315377961</v>
      </c>
      <c r="I61" s="43"/>
    </row>
    <row r="62" spans="1:9" s="34" customFormat="1" x14ac:dyDescent="0.3"/>
    <row r="63" spans="1:9" s="36" customFormat="1" ht="18.75" x14ac:dyDescent="0.3">
      <c r="A63" s="35" t="s">
        <v>121</v>
      </c>
    </row>
    <row r="64" spans="1:9" s="34" customFormat="1" x14ac:dyDescent="0.3">
      <c r="A64" s="44" t="str">
        <f>'Input Frontier'!A15</f>
        <v>Carbon costs</v>
      </c>
      <c r="D64" s="38"/>
      <c r="E64" s="38"/>
      <c r="F64" s="38"/>
      <c r="G64" s="38"/>
      <c r="H64" s="38"/>
    </row>
    <row r="65" spans="1:14" s="34" customFormat="1" x14ac:dyDescent="0.3">
      <c r="A65" s="37" t="str">
        <f>Dist1</f>
        <v>ActewAGL</v>
      </c>
      <c r="D65" s="38"/>
      <c r="E65" s="38"/>
      <c r="F65" s="38"/>
      <c r="G65" s="38"/>
      <c r="H65" s="38"/>
    </row>
    <row r="66" spans="1:14" s="34" customFormat="1" x14ac:dyDescent="0.3">
      <c r="A66" s="34" t="str">
        <f ca="1">'Calc (Jurisdiction)'!$B$2</f>
        <v>Calc (Jurisdiction)</v>
      </c>
      <c r="B66" s="96" t="s">
        <v>25</v>
      </c>
      <c r="C66" s="34" t="s">
        <v>11</v>
      </c>
      <c r="D66" s="73">
        <f t="shared" ref="D66:H68" si="10">D$88+D106</f>
        <v>0</v>
      </c>
      <c r="E66" s="73">
        <f t="shared" si="10"/>
        <v>0</v>
      </c>
      <c r="F66" s="73">
        <f t="shared" si="10"/>
        <v>2.1179999999999999</v>
      </c>
      <c r="G66" s="73">
        <f t="shared" si="10"/>
        <v>2.3756274961163113</v>
      </c>
      <c r="H66" s="73">
        <f t="shared" si="10"/>
        <v>2.2742035749762217</v>
      </c>
      <c r="I66" s="41"/>
      <c r="J66" s="45"/>
      <c r="K66" s="45"/>
      <c r="L66" s="45"/>
      <c r="M66" s="45"/>
      <c r="N66" s="45"/>
    </row>
    <row r="67" spans="1:14" s="34" customFormat="1" x14ac:dyDescent="0.3">
      <c r="A67" s="34" t="str">
        <f ca="1">'Calc (Market Planning Case)'!$B$2</f>
        <v>Calc (Market Planning Case)</v>
      </c>
      <c r="B67" s="96" t="s">
        <v>25</v>
      </c>
      <c r="C67" s="34" t="s">
        <v>11</v>
      </c>
      <c r="D67" s="73">
        <f t="shared" si="10"/>
        <v>0</v>
      </c>
      <c r="E67" s="73">
        <f t="shared" si="10"/>
        <v>0</v>
      </c>
      <c r="F67" s="73">
        <f t="shared" si="10"/>
        <v>2.1179999999999999</v>
      </c>
      <c r="G67" s="73">
        <f t="shared" si="10"/>
        <v>2.3756274961163113</v>
      </c>
      <c r="H67" s="73">
        <f t="shared" si="10"/>
        <v>2.2742035749762217</v>
      </c>
      <c r="I67" s="41"/>
      <c r="J67" s="41"/>
      <c r="K67" s="41"/>
      <c r="L67" s="41"/>
      <c r="M67" s="41"/>
      <c r="N67" s="41"/>
    </row>
    <row r="68" spans="1:14" s="34" customFormat="1" x14ac:dyDescent="0.3">
      <c r="A68" s="34" t="str">
        <f ca="1">'Calc (Market Slow Rate)'!$B$2</f>
        <v>Calc (Market Slow Rate)</v>
      </c>
      <c r="B68" s="96" t="s">
        <v>25</v>
      </c>
      <c r="C68" s="34" t="s">
        <v>11</v>
      </c>
      <c r="D68" s="73">
        <f t="shared" si="10"/>
        <v>0</v>
      </c>
      <c r="E68" s="73">
        <f t="shared" si="10"/>
        <v>0</v>
      </c>
      <c r="F68" s="73">
        <f t="shared" si="10"/>
        <v>2.1179999999999999</v>
      </c>
      <c r="G68" s="73">
        <f t="shared" si="10"/>
        <v>2.4759321835053401</v>
      </c>
      <c r="H68" s="73">
        <f t="shared" si="10"/>
        <v>2.3237675490028114</v>
      </c>
      <c r="I68" s="46"/>
      <c r="J68" s="46"/>
      <c r="K68" s="46"/>
      <c r="L68" s="46"/>
      <c r="M68" s="46"/>
      <c r="N68" s="46"/>
    </row>
    <row r="69" spans="1:14" s="34" customFormat="1" x14ac:dyDescent="0.3">
      <c r="D69" s="38"/>
      <c r="E69" s="38"/>
      <c r="F69" s="38"/>
      <c r="G69" s="38"/>
      <c r="H69" s="38"/>
    </row>
    <row r="70" spans="1:14" s="34" customFormat="1" x14ac:dyDescent="0.3">
      <c r="A70" s="21" t="s">
        <v>79</v>
      </c>
      <c r="D70" s="38"/>
      <c r="E70" s="38"/>
      <c r="F70" s="38"/>
      <c r="G70" s="38"/>
      <c r="H70" s="38"/>
    </row>
    <row r="71" spans="1:14" s="34" customFormat="1" x14ac:dyDescent="0.3">
      <c r="A71" s="37" t="str">
        <f>Dist1</f>
        <v>ActewAGL</v>
      </c>
      <c r="D71" s="38"/>
      <c r="E71" s="38"/>
      <c r="F71" s="38"/>
      <c r="G71" s="38"/>
      <c r="H71" s="38"/>
    </row>
    <row r="72" spans="1:14" s="34" customFormat="1" x14ac:dyDescent="0.3">
      <c r="A72" s="34" t="str">
        <f ca="1">'Calc (Jurisdiction)'!$B$2</f>
        <v>Calc (Jurisdiction)</v>
      </c>
      <c r="B72" s="96" t="s">
        <v>25</v>
      </c>
      <c r="C72" s="34" t="s">
        <v>11</v>
      </c>
      <c r="D72" s="73">
        <f ca="1">IF(LEFT($A72,5)="blank",0,D$85+D$86+D$87+D$97+(VLOOKUP($A72,Dist1Frontier,COLUMN(D72),FALSE))-IF('Input Global'!D$64="yes",D66,0))</f>
        <v>6.3952207999999997</v>
      </c>
      <c r="E72" s="98">
        <f ca="1">IF(LEFT($A72,5)="blank",0,E$85+E$86+E$87+E$97+(VLOOKUP($A72,Dist1Frontier,COLUMN(E72),FALSE))-IF('Input Global'!E$64="yes",E66,0))</f>
        <v>5.9533839999999998</v>
      </c>
      <c r="F72" s="98">
        <f ca="1">IF(LEFT($A72,5)="blank",0,F$85+F$86+F$87+F$97+(VLOOKUP($A72,Dist1Frontier,COLUMN(F72),FALSE))-IF('Input Global'!F$64="yes",F66,0))</f>
        <v>5.4239500000000005</v>
      </c>
      <c r="G72" s="98">
        <f ca="1">IF(LEFT($A72,5)="blank",0,G$85+G$86+G$87+G$97+(VLOOKUP($A72,Dist1Frontier,COLUMN(G72),FALSE))-IF('Input Global'!G$64="yes",G66,0))</f>
        <v>4.9610397894784617</v>
      </c>
      <c r="H72" s="98">
        <f ca="1">IF(LEFT($A72,5)="blank",0,H$85+H$86+H$87+H$97+(VLOOKUP($A72,Dist1Frontier,COLUMN(H72),FALSE))-IF('Input Global'!H$64="yes",H66,0))</f>
        <v>5.1594708915029406</v>
      </c>
      <c r="J72" s="47"/>
      <c r="K72" s="47"/>
      <c r="L72" s="47"/>
      <c r="M72" s="47"/>
      <c r="N72" s="47"/>
    </row>
    <row r="73" spans="1:14" s="34" customFormat="1" x14ac:dyDescent="0.3">
      <c r="A73" s="34" t="str">
        <f ca="1">'Calc (Market Planning Case)'!$B$2</f>
        <v>Calc (Market Planning Case)</v>
      </c>
      <c r="B73" s="96" t="s">
        <v>25</v>
      </c>
      <c r="C73" s="34" t="s">
        <v>11</v>
      </c>
      <c r="D73" s="98">
        <f ca="1">IF(LEFT($A73,5)="blank",0,D$85+D$86+D$87+D$97+(VLOOKUP($A73,Dist1Frontier,COLUMN(D73),FALSE))-IF('Input Global'!D$64="yes",D67,0))</f>
        <v>6.3952207999999997</v>
      </c>
      <c r="E73" s="98">
        <f ca="1">IF(LEFT($A73,5)="blank",0,E$85+E$86+E$87+E$97+(VLOOKUP($A73,Dist1Frontier,COLUMN(E73),FALSE))-IF('Input Global'!E$64="yes",E67,0))</f>
        <v>5.9533839999999998</v>
      </c>
      <c r="F73" s="98">
        <f ca="1">IF(LEFT($A73,5)="blank",0,F$85+F$86+F$87+F$97+(VLOOKUP($A73,Dist1Frontier,COLUMN(F73),FALSE))-IF('Input Global'!F$64="yes",F67,0))</f>
        <v>5.4239500000000005</v>
      </c>
      <c r="G73" s="98">
        <f ca="1">IF(LEFT($A73,5)="blank",0,G$85+G$86+G$87+G$97+(VLOOKUP($A73,Dist1Frontier,COLUMN(G73),FALSE))-IF('Input Global'!G$64="yes",G67,0))</f>
        <v>4.9610397894784617</v>
      </c>
      <c r="H73" s="98">
        <f ca="1">IF(LEFT($A73,5)="blank",0,H$85+H$86+H$87+H$97+(VLOOKUP($A73,Dist1Frontier,COLUMN(H73),FALSE))-IF('Input Global'!H$64="yes",H67,0))</f>
        <v>5.1594708915029406</v>
      </c>
    </row>
    <row r="74" spans="1:14" s="34" customFormat="1" x14ac:dyDescent="0.3">
      <c r="A74" s="34" t="str">
        <f ca="1">'Calc (Market Slow Rate)'!$B$2</f>
        <v>Calc (Market Slow Rate)</v>
      </c>
      <c r="B74" s="96" t="s">
        <v>25</v>
      </c>
      <c r="C74" s="34" t="s">
        <v>11</v>
      </c>
      <c r="D74" s="98">
        <f ca="1">IF(LEFT($A74,5)="blank",0,D$85+D$86+D$87+D$97+(VLOOKUP($A74,Dist1Frontier,COLUMN(D74),FALSE))-IF('Input Global'!D$64="yes",D68,0))</f>
        <v>6.3952207999999997</v>
      </c>
      <c r="E74" s="98">
        <f ca="1">IF(LEFT($A74,5)="blank",0,E$85+E$86+E$87+E$97+(VLOOKUP($A74,Dist1Frontier,COLUMN(E74),FALSE))-IF('Input Global'!E$64="yes",E68,0))</f>
        <v>5.9533839999999998</v>
      </c>
      <c r="F74" s="98">
        <f ca="1">IF(LEFT($A74,5)="blank",0,F$85+F$86+F$87+F$97+(VLOOKUP($A74,Dist1Frontier,COLUMN(F74),FALSE))-IF('Input Global'!F$64="yes",F68,0))</f>
        <v>5.4239500000000005</v>
      </c>
      <c r="G74" s="98">
        <f ca="1">IF(LEFT($A74,5)="blank",0,G$85+G$86+G$87+G$97+(VLOOKUP($A74,Dist1Frontier,COLUMN(G74),FALSE))-IF('Input Global'!G$64="yes",G68,0))</f>
        <v>5.306961189413423</v>
      </c>
      <c r="H74" s="98">
        <f ca="1">IF(LEFT($A74,5)="blank",0,H$85+H$86+H$87+H$97+(VLOOKUP($A74,Dist1Frontier,COLUMN(H74),FALSE))-IF('Input Global'!H$64="yes",H68,0))</f>
        <v>5.1146080339817193</v>
      </c>
    </row>
    <row r="75" spans="1:14" s="34" customFormat="1" x14ac:dyDescent="0.3"/>
    <row r="76" spans="1:14" s="34" customFormat="1" x14ac:dyDescent="0.3">
      <c r="A76" s="21" t="s">
        <v>91</v>
      </c>
    </row>
    <row r="77" spans="1:14" s="34" customFormat="1" x14ac:dyDescent="0.3">
      <c r="A77" s="37" t="str">
        <f>Dist1</f>
        <v>ActewAGL</v>
      </c>
      <c r="K77" s="43"/>
      <c r="L77" s="43"/>
      <c r="M77" s="43"/>
      <c r="N77" s="43"/>
    </row>
    <row r="78" spans="1:14" s="34" customFormat="1" x14ac:dyDescent="0.3">
      <c r="A78" s="34" t="str">
        <f ca="1">'Calc (Jurisdiction)'!$B$2</f>
        <v>Calc (Jurisdiction)</v>
      </c>
      <c r="B78" s="96" t="s">
        <v>25</v>
      </c>
      <c r="C78" s="34" t="s">
        <v>11</v>
      </c>
      <c r="D78" s="73">
        <f t="shared" ref="D78:H80" ca="1" si="11">IF(LEFT($A78,5)="blank",0,IF($C$89="$/mWh",D$89*100/1000,IF($C$89="$/kwh",D$89*100,D$89))+(VLOOKUP($A78,dist1LRET,COLUMN(D78),FALSE)))</f>
        <v>0.19463509991311903</v>
      </c>
      <c r="E78" s="73">
        <f t="shared" ca="1" si="11"/>
        <v>0.49660295395308429</v>
      </c>
      <c r="F78" s="73">
        <f t="shared" ca="1" si="11"/>
        <v>0.43499999999999994</v>
      </c>
      <c r="G78" s="73">
        <f t="shared" ca="1" si="11"/>
        <v>0.46612709452899753</v>
      </c>
      <c r="H78" s="73">
        <f t="shared" ca="1" si="11"/>
        <v>0.49360834598285647</v>
      </c>
      <c r="K78" s="48"/>
      <c r="L78" s="48"/>
      <c r="M78" s="48"/>
      <c r="N78" s="48"/>
    </row>
    <row r="79" spans="1:14" s="34" customFormat="1" x14ac:dyDescent="0.3">
      <c r="A79" s="34" t="str">
        <f ca="1">'Calc (Market Planning Case)'!$B$2</f>
        <v>Calc (Market Planning Case)</v>
      </c>
      <c r="B79" s="96" t="s">
        <v>25</v>
      </c>
      <c r="C79" s="34" t="s">
        <v>11</v>
      </c>
      <c r="D79" s="73">
        <f t="shared" ca="1" si="11"/>
        <v>0.19463509991311903</v>
      </c>
      <c r="E79" s="73">
        <f t="shared" ca="1" si="11"/>
        <v>0.49660295395308429</v>
      </c>
      <c r="F79" s="73">
        <f t="shared" ca="1" si="11"/>
        <v>0.43499999999999994</v>
      </c>
      <c r="G79" s="73">
        <f t="shared" ca="1" si="11"/>
        <v>0.46612709452899753</v>
      </c>
      <c r="H79" s="73">
        <f t="shared" ca="1" si="11"/>
        <v>0.49360834598285647</v>
      </c>
    </row>
    <row r="80" spans="1:14" s="34" customFormat="1" x14ac:dyDescent="0.3">
      <c r="A80" s="34" t="str">
        <f ca="1">'Calc (Market Slow Rate)'!$B$2</f>
        <v>Calc (Market Slow Rate)</v>
      </c>
      <c r="B80" s="96" t="s">
        <v>25</v>
      </c>
      <c r="C80" s="34" t="s">
        <v>11</v>
      </c>
      <c r="D80" s="73">
        <f t="shared" ca="1" si="11"/>
        <v>0.19463509991311903</v>
      </c>
      <c r="E80" s="73">
        <f t="shared" ca="1" si="11"/>
        <v>0.49660295395308429</v>
      </c>
      <c r="F80" s="73">
        <f t="shared" ca="1" si="11"/>
        <v>0.43499999999999994</v>
      </c>
      <c r="G80" s="73">
        <f t="shared" ca="1" si="11"/>
        <v>0.46612711098865739</v>
      </c>
      <c r="H80" s="73">
        <f t="shared" ca="1" si="11"/>
        <v>0.49360828894229231</v>
      </c>
    </row>
    <row r="81" spans="1:11" s="34" customFormat="1" x14ac:dyDescent="0.3"/>
    <row r="82" spans="1:11" s="34" customFormat="1" x14ac:dyDescent="0.3">
      <c r="A82" s="21" t="str">
        <f xml:space="preserve"> " Jurisdiction Data"</f>
        <v xml:space="preserve"> Jurisdiction Data</v>
      </c>
      <c r="D82" s="57"/>
      <c r="E82" s="57"/>
      <c r="F82" s="57"/>
      <c r="G82" s="57"/>
      <c r="H82" s="57"/>
    </row>
    <row r="83" spans="1:11" s="34" customFormat="1" x14ac:dyDescent="0.3">
      <c r="A83" s="52" t="str">
        <f>Dist1</f>
        <v>ActewAGL</v>
      </c>
      <c r="B83" s="96"/>
      <c r="C83" s="96"/>
      <c r="D83" s="96"/>
      <c r="E83" s="96"/>
      <c r="F83" s="96"/>
      <c r="G83" s="96"/>
      <c r="H83" s="96"/>
    </row>
    <row r="84" spans="1:11" s="34" customFormat="1" x14ac:dyDescent="0.3">
      <c r="A84" s="80" t="s">
        <v>64</v>
      </c>
      <c r="B84" s="96" t="s">
        <v>25</v>
      </c>
      <c r="C84" s="96" t="s">
        <v>11</v>
      </c>
      <c r="D84" s="108">
        <f t="shared" ref="D84:H92" si="12">IF($C200="$/mwh",D200*100/1000,IF($C200="$/kwh",D200*100,D200))</f>
        <v>1.056</v>
      </c>
      <c r="E84" s="108">
        <f t="shared" si="12"/>
        <v>1.0860000000000001</v>
      </c>
      <c r="F84" s="108">
        <f t="shared" si="12"/>
        <v>1.1131499999999999</v>
      </c>
      <c r="G84" s="108">
        <f t="shared" si="12"/>
        <v>1.1409787499999997</v>
      </c>
      <c r="H84" s="108">
        <f t="shared" si="12"/>
        <v>1.1695032187499996</v>
      </c>
    </row>
    <row r="85" spans="1:11" s="34" customFormat="1" x14ac:dyDescent="0.3">
      <c r="A85" s="80" t="s">
        <v>75</v>
      </c>
      <c r="B85" s="96" t="s">
        <v>25</v>
      </c>
      <c r="C85" s="96" t="s">
        <v>11</v>
      </c>
      <c r="D85" s="108">
        <f t="shared" si="12"/>
        <v>5.9329999999999998</v>
      </c>
      <c r="E85" s="108">
        <f t="shared" si="12"/>
        <v>5.5279999999999996</v>
      </c>
      <c r="F85" s="108">
        <f t="shared" si="12"/>
        <v>4.9950000000000001</v>
      </c>
      <c r="G85" s="108">
        <f t="shared" si="12"/>
        <v>0</v>
      </c>
      <c r="H85" s="108">
        <f t="shared" si="12"/>
        <v>0</v>
      </c>
    </row>
    <row r="86" spans="1:11" s="34" customFormat="1" x14ac:dyDescent="0.3">
      <c r="A86" s="80" t="s">
        <v>102</v>
      </c>
      <c r="B86" s="96" t="s">
        <v>25</v>
      </c>
      <c r="C86" s="96" t="s">
        <v>11</v>
      </c>
      <c r="D86" s="108">
        <f t="shared" si="12"/>
        <v>0.38622080000000003</v>
      </c>
      <c r="E86" s="108">
        <f t="shared" si="12"/>
        <v>0.34738400000000003</v>
      </c>
      <c r="F86" s="108">
        <f t="shared" si="12"/>
        <v>0.34899999999999998</v>
      </c>
      <c r="G86" s="108">
        <f t="shared" si="12"/>
        <v>0</v>
      </c>
      <c r="H86" s="108">
        <f t="shared" si="12"/>
        <v>0</v>
      </c>
      <c r="K86" s="39"/>
    </row>
    <row r="87" spans="1:11" s="34" customFormat="1" x14ac:dyDescent="0.3">
      <c r="A87" s="80" t="s">
        <v>118</v>
      </c>
      <c r="B87" s="96" t="s">
        <v>25</v>
      </c>
      <c r="C87" s="96" t="s">
        <v>11</v>
      </c>
      <c r="D87" s="108">
        <f t="shared" si="12"/>
        <v>7.5999999999999998E-2</v>
      </c>
      <c r="E87" s="108">
        <f t="shared" si="12"/>
        <v>7.8E-2</v>
      </c>
      <c r="F87" s="108">
        <f t="shared" si="12"/>
        <v>7.9950000000000007E-2</v>
      </c>
      <c r="G87" s="108">
        <f t="shared" si="12"/>
        <v>0</v>
      </c>
      <c r="H87" s="108">
        <f t="shared" si="12"/>
        <v>0</v>
      </c>
    </row>
    <row r="88" spans="1:11" s="34" customFormat="1" x14ac:dyDescent="0.3">
      <c r="A88" s="80" t="s">
        <v>103</v>
      </c>
      <c r="B88" s="96" t="s">
        <v>25</v>
      </c>
      <c r="C88" s="96" t="s">
        <v>11</v>
      </c>
      <c r="D88" s="108">
        <f t="shared" si="12"/>
        <v>0</v>
      </c>
      <c r="E88" s="108">
        <f t="shared" si="12"/>
        <v>0</v>
      </c>
      <c r="F88" s="108">
        <f t="shared" si="12"/>
        <v>2.1179999999999999</v>
      </c>
      <c r="G88" s="108">
        <f t="shared" si="12"/>
        <v>0</v>
      </c>
      <c r="H88" s="108">
        <f t="shared" si="12"/>
        <v>0</v>
      </c>
    </row>
    <row r="89" spans="1:11" s="34" customFormat="1" x14ac:dyDescent="0.3">
      <c r="A89" s="80" t="s">
        <v>16</v>
      </c>
      <c r="B89" s="96" t="s">
        <v>25</v>
      </c>
      <c r="C89" s="96" t="s">
        <v>11</v>
      </c>
      <c r="D89" s="108">
        <f t="shared" si="12"/>
        <v>0.19463509991311903</v>
      </c>
      <c r="E89" s="108">
        <f t="shared" si="12"/>
        <v>0.49660295395308429</v>
      </c>
      <c r="F89" s="108">
        <f t="shared" si="12"/>
        <v>0.43499999999999994</v>
      </c>
      <c r="G89" s="108">
        <f t="shared" si="12"/>
        <v>0</v>
      </c>
      <c r="H89" s="108">
        <f t="shared" si="12"/>
        <v>0</v>
      </c>
    </row>
    <row r="90" spans="1:11" s="34" customFormat="1" x14ac:dyDescent="0.3">
      <c r="A90" s="80" t="s">
        <v>70</v>
      </c>
      <c r="B90" s="96" t="s">
        <v>25</v>
      </c>
      <c r="C90" s="96" t="s">
        <v>11</v>
      </c>
      <c r="D90" s="108">
        <f t="shared" si="12"/>
        <v>0.32036490008688107</v>
      </c>
      <c r="E90" s="108">
        <f t="shared" si="12"/>
        <v>0.81739704604691588</v>
      </c>
      <c r="F90" s="108">
        <f t="shared" si="12"/>
        <v>0.71599999999999997</v>
      </c>
      <c r="G90" s="108">
        <f t="shared" si="12"/>
        <v>0</v>
      </c>
      <c r="H90" s="108">
        <f t="shared" si="12"/>
        <v>0</v>
      </c>
    </row>
    <row r="91" spans="1:11" s="34" customFormat="1" x14ac:dyDescent="0.3">
      <c r="A91" s="62" t="str">
        <f>Scheme1</f>
        <v>Greenhouse gas abatement scheme</v>
      </c>
      <c r="B91" s="96" t="s">
        <v>25</v>
      </c>
      <c r="C91" s="96" t="s">
        <v>11</v>
      </c>
      <c r="D91" s="108">
        <f t="shared" si="12"/>
        <v>0.105</v>
      </c>
      <c r="E91" s="108">
        <f t="shared" si="12"/>
        <v>0.11299999999999999</v>
      </c>
      <c r="F91" s="108">
        <f t="shared" si="12"/>
        <v>0</v>
      </c>
      <c r="G91" s="108">
        <f t="shared" si="12"/>
        <v>0</v>
      </c>
      <c r="H91" s="108">
        <f t="shared" si="12"/>
        <v>0</v>
      </c>
    </row>
    <row r="92" spans="1:11" s="34" customFormat="1" x14ac:dyDescent="0.3">
      <c r="A92" s="56" t="str">
        <f>Scheme2</f>
        <v>Energy Savings</v>
      </c>
      <c r="B92" s="96" t="s">
        <v>25</v>
      </c>
      <c r="C92" s="96" t="s">
        <v>11</v>
      </c>
      <c r="D92" s="108">
        <f t="shared" si="12"/>
        <v>0</v>
      </c>
      <c r="E92" s="108">
        <f t="shared" si="12"/>
        <v>0</v>
      </c>
      <c r="F92" s="108">
        <f t="shared" si="12"/>
        <v>0.11200000000000002</v>
      </c>
      <c r="G92" s="108">
        <f t="shared" si="12"/>
        <v>0.308</v>
      </c>
      <c r="H92" s="108">
        <f t="shared" si="12"/>
        <v>0.39200000000000007</v>
      </c>
    </row>
    <row r="93" spans="1:11" s="96" customFormat="1" x14ac:dyDescent="0.3">
      <c r="B93" s="103"/>
      <c r="C93" s="103"/>
      <c r="D93" s="103"/>
      <c r="E93" s="103"/>
      <c r="F93" s="103"/>
      <c r="G93" s="103"/>
      <c r="H93" s="103"/>
    </row>
    <row r="94" spans="1:11" s="96" customFormat="1" x14ac:dyDescent="0.3">
      <c r="A94" s="21" t="s">
        <v>122</v>
      </c>
      <c r="B94" s="103"/>
      <c r="C94" s="103"/>
      <c r="D94" s="103"/>
      <c r="E94" s="103"/>
      <c r="F94" s="103"/>
      <c r="G94" s="103"/>
      <c r="H94" s="103"/>
    </row>
    <row r="95" spans="1:11" s="96" customFormat="1" x14ac:dyDescent="0.3">
      <c r="A95" s="21"/>
      <c r="B95" s="103"/>
      <c r="C95" s="103"/>
      <c r="D95" s="103"/>
      <c r="E95" s="103"/>
      <c r="F95" s="103"/>
      <c r="G95" s="103"/>
      <c r="H95" s="103"/>
    </row>
    <row r="96" spans="1:11" s="96" customFormat="1" x14ac:dyDescent="0.3">
      <c r="A96" s="21" t="s">
        <v>75</v>
      </c>
      <c r="B96" s="103"/>
      <c r="C96" s="103"/>
      <c r="D96" s="103"/>
      <c r="E96" s="103"/>
      <c r="F96" s="103"/>
      <c r="G96" s="110"/>
      <c r="H96" s="103"/>
    </row>
    <row r="97" spans="1:11" s="96" customFormat="1" x14ac:dyDescent="0.3">
      <c r="A97" s="103" t="s">
        <v>118</v>
      </c>
      <c r="B97" s="103" t="s">
        <v>37</v>
      </c>
      <c r="C97" s="96" t="s">
        <v>11</v>
      </c>
      <c r="D97" s="103"/>
      <c r="E97" s="103"/>
      <c r="F97" s="103"/>
      <c r="G97" s="102">
        <f>IF(F87&gt;0, IF('Input Global'!$B$60="frontier number",'Input Frontier'!G8,IF('Input Global'!$B$60="CPI",$F$87*(1+inflation),$F$87*('Input Frontier'!G8/'Input Frontier'!F8))),0)</f>
        <v>8.1767045454545453E-2</v>
      </c>
      <c r="H97" s="102">
        <f>IF(F87&gt;0, IF('Input Global'!$B$60="frontier number",'Input Frontier'!H8,IF('Input Global'!$B$60="CPI",$F$87*(1+inflation)^2,$F$87*('Input Frontier'!H8/'Input Frontier'!G8))),0)</f>
        <v>8.1430555555555575E-2</v>
      </c>
      <c r="I97" s="41"/>
    </row>
    <row r="98" spans="1:11" s="96" customFormat="1" x14ac:dyDescent="0.3">
      <c r="F98" s="50"/>
    </row>
    <row r="99" spans="1:11" s="96" customFormat="1" x14ac:dyDescent="0.3">
      <c r="A99" s="104" t="str">
        <f>Dist1&amp;" region"</f>
        <v>ActewAGL region</v>
      </c>
      <c r="B99" s="103"/>
      <c r="D99" s="103"/>
      <c r="E99" s="103"/>
      <c r="F99" s="105"/>
      <c r="G99" s="103"/>
      <c r="H99" s="103"/>
    </row>
    <row r="100" spans="1:11" s="96" customFormat="1" x14ac:dyDescent="0.3">
      <c r="A100" s="96" t="str">
        <f ca="1">'Calc (Jurisdiction)'!$B$2</f>
        <v>Calc (Jurisdiction)</v>
      </c>
      <c r="B100" s="134" t="s">
        <v>37</v>
      </c>
      <c r="C100" s="96" t="s">
        <v>11</v>
      </c>
      <c r="D100" s="103"/>
      <c r="E100" s="103"/>
      <c r="F100" s="105"/>
      <c r="G100" s="133">
        <v>4.8792727440239165</v>
      </c>
      <c r="H100" s="133">
        <v>5.0780403359473851</v>
      </c>
    </row>
    <row r="101" spans="1:11" s="96" customFormat="1" x14ac:dyDescent="0.3">
      <c r="A101" s="96" t="str">
        <f ca="1">'Calc (Market Planning Case)'!$B$2</f>
        <v>Calc (Market Planning Case)</v>
      </c>
      <c r="B101" s="103" t="s">
        <v>37</v>
      </c>
      <c r="C101" s="96" t="s">
        <v>11</v>
      </c>
      <c r="D101" s="103"/>
      <c r="E101" s="103"/>
      <c r="F101" s="103"/>
      <c r="G101" s="102">
        <f>IF('Input Global'!$B$60="frontier number",'Input Frontier'!G12,IF('Input Global'!$B$60="CPI",$F$85*(1+inflation),$F$85*('Input Frontier'!G12/'Input Frontier'!F12)))</f>
        <v>4.8792727440239165</v>
      </c>
      <c r="H101" s="102">
        <f>IF('Input Global'!$B$60="frontier number",'Input Frontier'!H12,IF('Input Global'!$B$60="CPI",$F$85*(1+inflation)^2,G101*('Input Frontier'!H12/'Input Frontier'!G12)))</f>
        <v>5.0780403359473851</v>
      </c>
    </row>
    <row r="102" spans="1:11" s="96" customFormat="1" x14ac:dyDescent="0.3">
      <c r="A102" s="96" t="str">
        <f ca="1">'Calc (Market Slow Rate)'!$B$2</f>
        <v>Calc (Market Slow Rate)</v>
      </c>
      <c r="B102" s="103" t="s">
        <v>37</v>
      </c>
      <c r="C102" s="96" t="s">
        <v>11</v>
      </c>
      <c r="D102" s="103"/>
      <c r="E102" s="103"/>
      <c r="F102" s="103"/>
      <c r="G102" s="102">
        <f>IF('Input Global'!$B$60="frontier number",'Input Frontier'!G13,IF('Input Global'!$B$60="CPI",$F$85*(1+inflation),$F$85*('Input Frontier'!G13/'Input Frontier'!F13)))</f>
        <v>5.2251941439588778</v>
      </c>
      <c r="H102" s="102">
        <f>IF('Input Global'!$B$60="frontier number",'Input Frontier'!H13,IF('Input Global'!$B$60="CPI",$F$85*(1+inflation)^2,G102*('Input Frontier'!H13/'Input Frontier'!G13)))</f>
        <v>5.0331774784261638</v>
      </c>
    </row>
    <row r="103" spans="1:11" s="96" customFormat="1" x14ac:dyDescent="0.3">
      <c r="A103" s="103"/>
      <c r="B103" s="103"/>
      <c r="C103" s="103"/>
      <c r="D103" s="103"/>
      <c r="E103" s="103"/>
      <c r="F103" s="103"/>
      <c r="G103" s="103"/>
      <c r="H103" s="103"/>
    </row>
    <row r="104" spans="1:11" s="96" customFormat="1" x14ac:dyDescent="0.3">
      <c r="A104" s="101" t="s">
        <v>94</v>
      </c>
      <c r="B104" s="103"/>
      <c r="C104" s="103"/>
      <c r="D104" s="103"/>
      <c r="E104" s="103"/>
      <c r="F104" s="50"/>
      <c r="G104" s="106"/>
      <c r="H104" s="106"/>
    </row>
    <row r="105" spans="1:11" s="96" customFormat="1" x14ac:dyDescent="0.3">
      <c r="A105" s="104" t="str">
        <f>Dist1</f>
        <v>ActewAGL</v>
      </c>
      <c r="B105" s="103"/>
      <c r="C105" s="103"/>
      <c r="D105" s="103"/>
      <c r="E105" s="103"/>
      <c r="F105" s="105"/>
      <c r="G105" s="103"/>
      <c r="H105" s="103"/>
    </row>
    <row r="106" spans="1:11" s="96" customFormat="1" x14ac:dyDescent="0.3">
      <c r="A106" s="96" t="str">
        <f ca="1">'Calc (Jurisdiction)'!$B$2</f>
        <v>Calc (Jurisdiction)</v>
      </c>
      <c r="B106" s="134" t="s">
        <v>37</v>
      </c>
      <c r="C106" s="96" t="s">
        <v>11</v>
      </c>
      <c r="D106" s="103"/>
      <c r="E106" s="103"/>
      <c r="F106" s="105"/>
      <c r="G106" s="133">
        <v>2.3756274961163113</v>
      </c>
      <c r="H106" s="133">
        <v>2.2742035749762217</v>
      </c>
    </row>
    <row r="107" spans="1:11" s="96" customFormat="1" x14ac:dyDescent="0.3">
      <c r="A107" s="96" t="str">
        <f ca="1">'Calc (Market Planning Case)'!$B$2</f>
        <v>Calc (Market Planning Case)</v>
      </c>
      <c r="B107" s="103" t="s">
        <v>37</v>
      </c>
      <c r="C107" s="96" t="s">
        <v>11</v>
      </c>
      <c r="D107" s="103"/>
      <c r="E107" s="103"/>
      <c r="F107" s="105"/>
      <c r="G107" s="102">
        <f>IF('Input Global'!$B$60="frontier number",'Input Frontier'!G18,IF('Input Global'!$B$60="CPI",$F$88*(1+inflation),$F$88*('Input Frontier'!G18/'Input Frontier'!F18)))</f>
        <v>2.3756274961163113</v>
      </c>
      <c r="H107" s="102">
        <f>IF('Input Global'!$B$60="frontier number",'Input Frontier'!H18,IF('Input Global'!$B$60="CPI",$F$88*(1+inflation)^2,G107*('Input Frontier'!H18/'Input Frontier'!G18)))</f>
        <v>2.2742035749762217</v>
      </c>
    </row>
    <row r="108" spans="1:11" s="96" customFormat="1" x14ac:dyDescent="0.3">
      <c r="A108" s="96" t="str">
        <f ca="1">'Calc (Market Slow Rate)'!$B$2</f>
        <v>Calc (Market Slow Rate)</v>
      </c>
      <c r="B108" s="103" t="s">
        <v>37</v>
      </c>
      <c r="C108" s="96" t="s">
        <v>11</v>
      </c>
      <c r="D108" s="103"/>
      <c r="E108" s="103"/>
      <c r="F108" s="105"/>
      <c r="G108" s="102">
        <f>IF('Input Global'!$B$60="frontier number",'Input Frontier'!G19,IF('Input Global'!$B$60="CPI",$F$88*(1+inflation),$F$88*('Input Frontier'!G19/'Input Frontier'!F19)))</f>
        <v>2.4759321835053401</v>
      </c>
      <c r="H108" s="102">
        <f>IF('Input Global'!$B$60="frontier number",'Input Frontier'!H19,IF('Input Global'!$B$60="CPI",$F$88*(1+inflation)^2,G108*('Input Frontier'!H19/'Input Frontier'!G19)))</f>
        <v>2.3237675490028114</v>
      </c>
    </row>
    <row r="109" spans="1:11" s="96" customFormat="1" x14ac:dyDescent="0.3">
      <c r="B109" s="103"/>
      <c r="C109" s="103"/>
      <c r="D109" s="103"/>
      <c r="E109" s="103"/>
      <c r="F109" s="53"/>
      <c r="G109" s="53"/>
      <c r="H109" s="53"/>
      <c r="I109" s="53"/>
      <c r="J109" s="53"/>
      <c r="K109" s="53"/>
    </row>
    <row r="110" spans="1:11" s="96" customFormat="1" x14ac:dyDescent="0.3">
      <c r="A110" s="44" t="s">
        <v>16</v>
      </c>
      <c r="B110" s="103"/>
      <c r="C110" s="103"/>
      <c r="D110" s="103"/>
      <c r="E110" s="103"/>
      <c r="F110" s="53"/>
      <c r="G110" s="53"/>
      <c r="H110" s="53"/>
    </row>
    <row r="111" spans="1:11" s="96" customFormat="1" x14ac:dyDescent="0.3">
      <c r="A111" s="104" t="str">
        <f>Dist1</f>
        <v>ActewAGL</v>
      </c>
      <c r="B111" s="103"/>
      <c r="C111" s="103"/>
      <c r="D111" s="103"/>
      <c r="E111" s="103"/>
      <c r="F111" s="106"/>
      <c r="G111" s="106"/>
      <c r="H111" s="106"/>
    </row>
    <row r="112" spans="1:11" s="96" customFormat="1" x14ac:dyDescent="0.3">
      <c r="A112" s="96" t="str">
        <f ca="1">'Calc (Jurisdiction)'!$B$2</f>
        <v>Calc (Jurisdiction)</v>
      </c>
      <c r="B112" s="134" t="s">
        <v>37</v>
      </c>
      <c r="C112" s="96" t="s">
        <v>11</v>
      </c>
      <c r="D112" s="103"/>
      <c r="E112" s="103"/>
      <c r="F112" s="106"/>
      <c r="G112" s="133">
        <v>0.46612709452899753</v>
      </c>
      <c r="H112" s="133">
        <v>0.49360834598285647</v>
      </c>
    </row>
    <row r="113" spans="1:8" s="96" customFormat="1" x14ac:dyDescent="0.3">
      <c r="A113" s="96" t="str">
        <f ca="1">'Calc (Market Planning Case)'!$B$2</f>
        <v>Calc (Market Planning Case)</v>
      </c>
      <c r="B113" s="103" t="s">
        <v>37</v>
      </c>
      <c r="C113" s="96" t="s">
        <v>11</v>
      </c>
      <c r="D113" s="103"/>
      <c r="E113" s="103"/>
      <c r="F113" s="106"/>
      <c r="G113" s="102">
        <f>IF('Input Global'!$B$60="frontier number",'Input Frontier'!G23,IF('Input Global'!$B$60="CPI",$F$89*(1+inflation),$F$89*('Input Frontier'!G23/'Input Frontier'!F23)))</f>
        <v>0.46612709452899753</v>
      </c>
      <c r="H113" s="102">
        <f>IF('Input Global'!$B$60="frontier number",'Input Frontier'!H23,IF('Input Global'!$B$60="CPI",$F$89*(1+inflation)^2,G113*('Input Frontier'!H23/'Input Frontier'!G23)))</f>
        <v>0.49360834598285647</v>
      </c>
    </row>
    <row r="114" spans="1:8" s="96" customFormat="1" x14ac:dyDescent="0.3">
      <c r="A114" s="96" t="str">
        <f ca="1">'Calc (Market Slow Rate)'!$B$2</f>
        <v>Calc (Market Slow Rate)</v>
      </c>
      <c r="B114" s="103" t="s">
        <v>37</v>
      </c>
      <c r="C114" s="96" t="s">
        <v>11</v>
      </c>
      <c r="D114" s="103"/>
      <c r="E114" s="103"/>
      <c r="F114" s="106"/>
      <c r="G114" s="102">
        <f>IF('Input Global'!$B$60="frontier number",'Input Frontier'!G24,IF('Input Global'!$B$60="CPI",$F$89*(1+inflation),$F$89*('Input Frontier'!G24/'Input Frontier'!F24)))</f>
        <v>0.46612711098865739</v>
      </c>
      <c r="H114" s="102">
        <f>IF('Input Global'!$B$60="frontier number",'Input Frontier'!H24,IF('Input Global'!$B$60="CPI",$F$89*(1+inflation)^2,G114*('Input Frontier'!H24/'Input Frontier'!G24)))</f>
        <v>0.49360828894229231</v>
      </c>
    </row>
    <row r="115" spans="1:8" s="96" customFormat="1" hidden="1" x14ac:dyDescent="0.3">
      <c r="B115" s="103"/>
      <c r="C115" s="103"/>
      <c r="D115" s="103"/>
      <c r="E115" s="103"/>
      <c r="F115" s="103"/>
      <c r="G115" s="103"/>
      <c r="H115" s="103"/>
    </row>
    <row r="116" spans="1:8" s="96" customFormat="1" hidden="1" x14ac:dyDescent="0.3">
      <c r="A116" s="104" t="str">
        <f>Dist2</f>
        <v>blank</v>
      </c>
      <c r="B116" s="103"/>
      <c r="C116" s="103"/>
      <c r="D116" s="103"/>
      <c r="E116" s="103"/>
      <c r="F116" s="106"/>
      <c r="G116" s="106"/>
      <c r="H116" s="106"/>
    </row>
    <row r="117" spans="1:8" s="96" customFormat="1" hidden="1" x14ac:dyDescent="0.3">
      <c r="A117" s="96" t="str">
        <f ca="1">'Calc (Jurisdiction)'!$B$2</f>
        <v>Calc (Jurisdiction)</v>
      </c>
      <c r="B117" s="134" t="s">
        <v>37</v>
      </c>
      <c r="C117" s="96" t="s">
        <v>11</v>
      </c>
      <c r="D117" s="103"/>
      <c r="E117" s="103"/>
      <c r="F117" s="106"/>
      <c r="G117" s="133"/>
      <c r="H117" s="133"/>
    </row>
    <row r="118" spans="1:8" s="96" customFormat="1" hidden="1" x14ac:dyDescent="0.3">
      <c r="B118" s="103"/>
      <c r="C118" s="103"/>
      <c r="D118" s="103"/>
      <c r="E118" s="103"/>
      <c r="F118" s="106"/>
      <c r="G118" s="54"/>
      <c r="H118" s="54"/>
    </row>
    <row r="119" spans="1:8" s="96" customFormat="1" hidden="1" x14ac:dyDescent="0.3">
      <c r="A119" s="104" t="str">
        <f>Dist3</f>
        <v>blank</v>
      </c>
      <c r="B119" s="103"/>
      <c r="C119" s="103"/>
      <c r="D119" s="103"/>
      <c r="E119" s="103"/>
      <c r="F119" s="106"/>
      <c r="G119" s="106"/>
      <c r="H119" s="106"/>
    </row>
    <row r="120" spans="1:8" s="96" customFormat="1" hidden="1" x14ac:dyDescent="0.3">
      <c r="A120" s="96" t="str">
        <f ca="1">'Calc (Jurisdiction)'!$B$2</f>
        <v>Calc (Jurisdiction)</v>
      </c>
      <c r="B120" s="134" t="s">
        <v>37</v>
      </c>
      <c r="C120" s="96" t="s">
        <v>11</v>
      </c>
      <c r="D120" s="103"/>
      <c r="E120" s="103"/>
      <c r="F120" s="106"/>
      <c r="G120" s="133"/>
      <c r="H120" s="133"/>
    </row>
    <row r="121" spans="1:8" s="96" customFormat="1" hidden="1" x14ac:dyDescent="0.3">
      <c r="B121" s="103"/>
      <c r="C121" s="103"/>
      <c r="D121" s="103"/>
      <c r="E121" s="103"/>
      <c r="F121" s="106"/>
      <c r="G121" s="54"/>
      <c r="H121" s="54"/>
    </row>
    <row r="122" spans="1:8" s="96" customFormat="1" hidden="1" x14ac:dyDescent="0.3">
      <c r="A122" s="104" t="str">
        <f>Dist4</f>
        <v>blank</v>
      </c>
      <c r="B122" s="103"/>
      <c r="C122" s="103"/>
      <c r="D122" s="103"/>
      <c r="E122" s="103"/>
      <c r="F122" s="106"/>
      <c r="G122" s="106"/>
      <c r="H122" s="119"/>
    </row>
    <row r="123" spans="1:8" s="96" customFormat="1" hidden="1" x14ac:dyDescent="0.3">
      <c r="A123" s="96" t="str">
        <f ca="1">'Calc (Jurisdiction)'!$B$2</f>
        <v>Calc (Jurisdiction)</v>
      </c>
      <c r="B123" s="134" t="s">
        <v>37</v>
      </c>
      <c r="C123" s="96" t="s">
        <v>11</v>
      </c>
      <c r="D123" s="103"/>
      <c r="E123" s="103"/>
      <c r="F123" s="106"/>
      <c r="G123" s="133"/>
      <c r="H123" s="133"/>
    </row>
    <row r="124" spans="1:8" s="96" customFormat="1" hidden="1" x14ac:dyDescent="0.3">
      <c r="B124" s="103"/>
      <c r="C124" s="103"/>
      <c r="D124" s="103"/>
      <c r="E124" s="103"/>
      <c r="F124" s="106"/>
      <c r="G124" s="54"/>
      <c r="H124" s="54"/>
    </row>
    <row r="125" spans="1:8" s="96" customFormat="1" hidden="1" x14ac:dyDescent="0.3">
      <c r="A125" s="104" t="str">
        <f>Dist5</f>
        <v>blank</v>
      </c>
      <c r="B125" s="103"/>
      <c r="C125" s="103"/>
      <c r="D125" s="103"/>
      <c r="E125" s="103"/>
      <c r="F125" s="106"/>
      <c r="G125" s="106"/>
      <c r="H125" s="106"/>
    </row>
    <row r="126" spans="1:8" s="96" customFormat="1" hidden="1" x14ac:dyDescent="0.3">
      <c r="A126" s="96" t="str">
        <f ca="1">'Calc (Jurisdiction)'!$B$2</f>
        <v>Calc (Jurisdiction)</v>
      </c>
      <c r="B126" s="134" t="s">
        <v>37</v>
      </c>
      <c r="C126" s="96" t="s">
        <v>11</v>
      </c>
      <c r="D126" s="103"/>
      <c r="E126" s="103"/>
      <c r="F126" s="106"/>
      <c r="G126" s="133"/>
      <c r="H126" s="133"/>
    </row>
    <row r="127" spans="1:8" s="96" customFormat="1" x14ac:dyDescent="0.3">
      <c r="A127" s="103"/>
      <c r="F127" s="106"/>
      <c r="G127" s="106"/>
      <c r="H127" s="106"/>
    </row>
    <row r="128" spans="1:8" s="96" customFormat="1" x14ac:dyDescent="0.3">
      <c r="A128" s="101" t="s">
        <v>17</v>
      </c>
      <c r="F128" s="106"/>
      <c r="G128" s="106"/>
      <c r="H128" s="106"/>
    </row>
    <row r="129" spans="1:14" s="96" customFormat="1" x14ac:dyDescent="0.3">
      <c r="A129" s="52" t="str">
        <f>Dist1</f>
        <v>ActewAGL</v>
      </c>
      <c r="B129" s="103" t="s">
        <v>37</v>
      </c>
      <c r="C129" s="96" t="s">
        <v>11</v>
      </c>
      <c r="D129" s="103"/>
      <c r="E129" s="103"/>
      <c r="F129" s="106"/>
      <c r="G129" s="102">
        <f>IF('Input Global'!$B$60="frontier number",'Input Frontier'!G27,IF('Input Global'!$B$60="CPI",$F$90*(1+inflation),$F$90*('Input Frontier'!G27/'Input Frontier'!F27)))</f>
        <v>0.31512978056426327</v>
      </c>
      <c r="H129" s="102">
        <f>IF('Input Global'!$B$60="frontier number",'Input Frontier'!F27,IF('Input Global'!$B$60="CPI",$F$90*(1+inflation)^2,G129*('Input Frontier'!H27/'Input Frontier'!G27)))</f>
        <v>0.27383072100313477</v>
      </c>
    </row>
    <row r="130" spans="1:14" s="96" customFormat="1" ht="14.25" hidden="1" customHeight="1" x14ac:dyDescent="0.3">
      <c r="A130" s="52"/>
      <c r="B130" s="103"/>
      <c r="C130" s="103"/>
      <c r="D130" s="103"/>
      <c r="E130" s="103"/>
      <c r="F130" s="106"/>
      <c r="G130" s="103"/>
      <c r="H130" s="103"/>
      <c r="I130" s="103"/>
      <c r="J130" s="103"/>
    </row>
    <row r="131" spans="1:14" s="96" customFormat="1" hidden="1" x14ac:dyDescent="0.3">
      <c r="A131" s="101" t="str">
        <f>Scheme1</f>
        <v>Greenhouse gas abatement scheme</v>
      </c>
      <c r="F131" s="106"/>
      <c r="G131" s="106"/>
      <c r="H131" s="106"/>
    </row>
    <row r="132" spans="1:14" s="96" customFormat="1" hidden="1" x14ac:dyDescent="0.3">
      <c r="A132" s="52" t="str">
        <f>Dist1</f>
        <v>ActewAGL</v>
      </c>
      <c r="B132" s="103"/>
      <c r="D132" s="103"/>
      <c r="E132" s="103"/>
      <c r="F132" s="106"/>
      <c r="G132" s="106"/>
      <c r="H132" s="106"/>
      <c r="I132" s="106"/>
      <c r="J132" s="106"/>
    </row>
    <row r="133" spans="1:14" s="96" customFormat="1" hidden="1" x14ac:dyDescent="0.3">
      <c r="A133" s="96" t="str">
        <f ca="1">A112</f>
        <v>Calc (Jurisdiction)</v>
      </c>
      <c r="B133" s="132"/>
      <c r="C133" s="96" t="s">
        <v>11</v>
      </c>
      <c r="D133" s="103"/>
      <c r="E133" s="103"/>
      <c r="F133" s="106"/>
      <c r="G133" s="133"/>
      <c r="H133" s="133"/>
      <c r="I133" s="106"/>
      <c r="J133" s="106"/>
    </row>
    <row r="134" spans="1:14" s="96" customFormat="1" hidden="1" x14ac:dyDescent="0.3">
      <c r="A134" s="96" t="str">
        <f t="shared" ref="A134:A135" ca="1" si="13">A113</f>
        <v>Calc (Market Planning Case)</v>
      </c>
      <c r="B134" s="132"/>
      <c r="C134" s="96" t="s">
        <v>11</v>
      </c>
      <c r="D134" s="103"/>
      <c r="E134" s="103"/>
      <c r="F134" s="106"/>
      <c r="G134" s="133"/>
      <c r="H134" s="133"/>
      <c r="I134" s="106"/>
      <c r="J134" s="106"/>
    </row>
    <row r="135" spans="1:14" s="96" customFormat="1" hidden="1" x14ac:dyDescent="0.3">
      <c r="A135" s="96" t="str">
        <f t="shared" ca="1" si="13"/>
        <v>Calc (Market Slow Rate)</v>
      </c>
      <c r="B135" s="132"/>
      <c r="C135" s="96" t="s">
        <v>11</v>
      </c>
      <c r="D135" s="103"/>
      <c r="E135" s="103"/>
      <c r="F135" s="106"/>
      <c r="G135" s="133"/>
      <c r="H135" s="133"/>
      <c r="I135" s="106"/>
      <c r="J135" s="106"/>
    </row>
    <row r="136" spans="1:14" s="96" customFormat="1" hidden="1" x14ac:dyDescent="0.3">
      <c r="A136" s="52"/>
      <c r="B136" s="103"/>
      <c r="C136" s="103"/>
      <c r="D136" s="103"/>
      <c r="E136" s="103"/>
      <c r="F136" s="106"/>
      <c r="G136" s="106"/>
      <c r="H136" s="106"/>
      <c r="I136" s="106"/>
      <c r="J136" s="106"/>
    </row>
    <row r="137" spans="1:14" s="96" customFormat="1" hidden="1" x14ac:dyDescent="0.3">
      <c r="A137" s="52" t="str">
        <f>Dist2</f>
        <v>blank</v>
      </c>
      <c r="B137" s="103"/>
      <c r="D137" s="103"/>
      <c r="E137" s="103"/>
      <c r="F137" s="106"/>
      <c r="G137" s="106"/>
      <c r="H137" s="106"/>
      <c r="I137" s="106"/>
    </row>
    <row r="138" spans="1:14" s="96" customFormat="1" hidden="1" x14ac:dyDescent="0.3">
      <c r="A138" s="96" t="str">
        <f ca="1">A133</f>
        <v>Calc (Jurisdiction)</v>
      </c>
      <c r="B138" s="132"/>
      <c r="C138" s="96" t="s">
        <v>11</v>
      </c>
      <c r="D138" s="103"/>
      <c r="E138" s="103"/>
      <c r="F138" s="106"/>
      <c r="G138" s="133"/>
      <c r="H138" s="133"/>
      <c r="I138" s="106"/>
    </row>
    <row r="139" spans="1:14" s="96" customFormat="1" hidden="1" x14ac:dyDescent="0.3">
      <c r="A139" s="52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</row>
    <row r="140" spans="1:14" s="96" customFormat="1" hidden="1" x14ac:dyDescent="0.3">
      <c r="A140" s="52" t="str">
        <f>Dist3</f>
        <v>blank</v>
      </c>
      <c r="B140" s="103"/>
      <c r="D140" s="103"/>
      <c r="E140" s="103"/>
      <c r="F140" s="106"/>
      <c r="G140" s="106"/>
      <c r="H140" s="106"/>
      <c r="I140" s="106"/>
    </row>
    <row r="141" spans="1:14" s="96" customFormat="1" hidden="1" x14ac:dyDescent="0.3">
      <c r="A141" s="96" t="str">
        <f ca="1">A138</f>
        <v>Calc (Jurisdiction)</v>
      </c>
      <c r="B141" s="132"/>
      <c r="C141" s="96" t="s">
        <v>11</v>
      </c>
      <c r="D141" s="103"/>
      <c r="E141" s="103"/>
      <c r="F141" s="106"/>
      <c r="G141" s="133"/>
      <c r="H141" s="133"/>
      <c r="I141" s="106"/>
    </row>
    <row r="142" spans="1:14" s="96" customFormat="1" hidden="1" x14ac:dyDescent="0.3">
      <c r="A142" s="52"/>
      <c r="B142" s="103"/>
      <c r="C142" s="103"/>
      <c r="D142" s="103"/>
      <c r="E142" s="103"/>
      <c r="F142" s="103"/>
      <c r="G142" s="103"/>
      <c r="H142" s="103"/>
      <c r="I142" s="101"/>
      <c r="J142" s="103"/>
      <c r="K142" s="103"/>
    </row>
    <row r="143" spans="1:14" s="96" customFormat="1" hidden="1" x14ac:dyDescent="0.3">
      <c r="A143" s="52" t="str">
        <f>Dist4</f>
        <v>blank</v>
      </c>
      <c r="B143" s="103"/>
      <c r="D143" s="103"/>
      <c r="E143" s="103"/>
      <c r="F143" s="106"/>
      <c r="G143" s="106"/>
      <c r="H143" s="106"/>
      <c r="I143" s="106"/>
    </row>
    <row r="144" spans="1:14" s="96" customFormat="1" hidden="1" x14ac:dyDescent="0.3">
      <c r="A144" s="96" t="str">
        <f ca="1">A141</f>
        <v>Calc (Jurisdiction)</v>
      </c>
      <c r="B144" s="132"/>
      <c r="C144" s="96" t="s">
        <v>11</v>
      </c>
      <c r="D144" s="103"/>
      <c r="E144" s="103"/>
      <c r="F144" s="106"/>
      <c r="G144" s="133"/>
      <c r="H144" s="133"/>
      <c r="I144" s="106"/>
    </row>
    <row r="145" spans="1:13" s="96" customFormat="1" hidden="1" x14ac:dyDescent="0.3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</row>
    <row r="146" spans="1:13" s="96" customFormat="1" hidden="1" x14ac:dyDescent="0.3">
      <c r="A146" s="52" t="str">
        <f>Dist5</f>
        <v>blank</v>
      </c>
      <c r="B146" s="103"/>
      <c r="D146" s="103"/>
      <c r="E146" s="103"/>
      <c r="F146" s="106"/>
      <c r="G146" s="106"/>
      <c r="H146" s="106"/>
      <c r="I146" s="106"/>
    </row>
    <row r="147" spans="1:13" s="96" customFormat="1" hidden="1" x14ac:dyDescent="0.3">
      <c r="A147" s="96" t="str">
        <f ca="1">A144</f>
        <v>Calc (Jurisdiction)</v>
      </c>
      <c r="B147" s="132"/>
      <c r="C147" s="96" t="s">
        <v>11</v>
      </c>
      <c r="D147" s="103"/>
      <c r="E147" s="103"/>
      <c r="F147" s="106"/>
      <c r="G147" s="133"/>
      <c r="H147" s="133"/>
      <c r="I147" s="106"/>
    </row>
    <row r="148" spans="1:13" s="96" customFormat="1" hidden="1" x14ac:dyDescent="0.3">
      <c r="A148" s="52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</row>
    <row r="149" spans="1:13" s="96" customFormat="1" hidden="1" x14ac:dyDescent="0.3">
      <c r="A149" s="101" t="str">
        <f>Scheme2</f>
        <v>Energy Savings</v>
      </c>
    </row>
    <row r="150" spans="1:13" s="96" customFormat="1" hidden="1" x14ac:dyDescent="0.3">
      <c r="A150" s="52" t="str">
        <f>Dist1</f>
        <v>ActewAGL</v>
      </c>
      <c r="B150" s="103"/>
      <c r="D150" s="103"/>
      <c r="E150" s="103"/>
      <c r="F150" s="106"/>
      <c r="G150" s="106"/>
      <c r="H150" s="106"/>
      <c r="I150" s="106"/>
      <c r="J150" s="106"/>
    </row>
    <row r="151" spans="1:13" s="96" customFormat="1" hidden="1" x14ac:dyDescent="0.3">
      <c r="A151" s="96" t="str">
        <f ca="1">A133</f>
        <v>Calc (Jurisdiction)</v>
      </c>
      <c r="B151" s="132"/>
      <c r="C151" s="96" t="s">
        <v>11</v>
      </c>
      <c r="D151" s="103"/>
      <c r="E151" s="103"/>
      <c r="F151" s="106"/>
      <c r="G151" s="133"/>
      <c r="H151" s="133"/>
      <c r="I151" s="106"/>
      <c r="J151" s="106"/>
    </row>
    <row r="152" spans="1:13" s="96" customFormat="1" hidden="1" x14ac:dyDescent="0.3">
      <c r="A152" s="96" t="str">
        <f t="shared" ref="A152:A153" ca="1" si="14">A134</f>
        <v>Calc (Market Planning Case)</v>
      </c>
      <c r="B152" s="132"/>
      <c r="C152" s="96" t="s">
        <v>11</v>
      </c>
      <c r="D152" s="103"/>
      <c r="E152" s="103"/>
      <c r="F152" s="106"/>
      <c r="G152" s="133"/>
      <c r="H152" s="133"/>
      <c r="I152" s="106"/>
      <c r="J152" s="106"/>
    </row>
    <row r="153" spans="1:13" s="96" customFormat="1" hidden="1" x14ac:dyDescent="0.3">
      <c r="A153" s="96" t="str">
        <f t="shared" ca="1" si="14"/>
        <v>Calc (Market Slow Rate)</v>
      </c>
      <c r="B153" s="132"/>
      <c r="C153" s="96" t="s">
        <v>11</v>
      </c>
      <c r="D153" s="103"/>
      <c r="E153" s="103"/>
      <c r="F153" s="106"/>
      <c r="G153" s="133"/>
      <c r="H153" s="133"/>
      <c r="I153" s="106"/>
      <c r="J153" s="106"/>
    </row>
    <row r="154" spans="1:13" s="96" customFormat="1" ht="14.25" customHeight="1" x14ac:dyDescent="0.3">
      <c r="A154" s="52"/>
      <c r="B154" s="49"/>
      <c r="C154" s="49"/>
      <c r="D154" s="49"/>
      <c r="E154" s="49"/>
      <c r="F154" s="51"/>
      <c r="G154" s="53"/>
      <c r="H154" s="53"/>
    </row>
    <row r="155" spans="1:13" s="34" customFormat="1" x14ac:dyDescent="0.3">
      <c r="A155" s="21" t="s">
        <v>24</v>
      </c>
      <c r="F155" s="51"/>
    </row>
    <row r="156" spans="1:13" s="34" customFormat="1" x14ac:dyDescent="0.3">
      <c r="A156" s="44" t="str">
        <f>"TUOS for "&amp;TNSP</f>
        <v>TUOS for Transgrid</v>
      </c>
    </row>
    <row r="157" spans="1:13" s="34" customFormat="1" x14ac:dyDescent="0.3">
      <c r="A157" s="52" t="str">
        <f>Dist1</f>
        <v>ActewAGL</v>
      </c>
    </row>
    <row r="158" spans="1:13" s="34" customFormat="1" x14ac:dyDescent="0.3">
      <c r="A158" s="34" t="s">
        <v>98</v>
      </c>
      <c r="B158" s="122" t="s">
        <v>132</v>
      </c>
      <c r="C158" s="124" t="s">
        <v>136</v>
      </c>
      <c r="D158" s="139">
        <v>0</v>
      </c>
      <c r="E158" s="139">
        <v>0</v>
      </c>
      <c r="F158" s="139">
        <v>0</v>
      </c>
      <c r="G158" s="130">
        <f>F158*(1+inflation)*(1-G164)/(1+G165)</f>
        <v>0</v>
      </c>
      <c r="H158" s="130">
        <f>G158*(1+inflation)*(1-H164)/(1+H165)</f>
        <v>0</v>
      </c>
    </row>
    <row r="159" spans="1:13" s="34" customFormat="1" x14ac:dyDescent="0.3">
      <c r="A159" s="34" t="s">
        <v>99</v>
      </c>
      <c r="B159" s="122" t="s">
        <v>132</v>
      </c>
      <c r="C159" s="124" t="s">
        <v>137</v>
      </c>
      <c r="D159" s="140">
        <v>1.149E-2</v>
      </c>
      <c r="E159" s="140">
        <v>1.3769999999999999E-2</v>
      </c>
      <c r="F159" s="140">
        <v>1.653E-2</v>
      </c>
      <c r="G159" s="131">
        <f>F159*(1+inflation)*(1-G164)/(1+G165)</f>
        <v>1.7681587277667981E-2</v>
      </c>
      <c r="H159" s="131">
        <f>G159*(1+inflation)*(1-H164)/(1+H165)</f>
        <v>1.8913401612691484E-2</v>
      </c>
    </row>
    <row r="160" spans="1:13" s="34" customFormat="1" x14ac:dyDescent="0.3">
      <c r="A160" s="34" t="s">
        <v>100</v>
      </c>
      <c r="B160" s="122" t="s">
        <v>132</v>
      </c>
      <c r="C160" s="124" t="s">
        <v>137</v>
      </c>
      <c r="D160" s="140">
        <v>0</v>
      </c>
      <c r="E160" s="140">
        <v>0</v>
      </c>
      <c r="F160" s="140">
        <v>0</v>
      </c>
      <c r="G160" s="131">
        <f>F160*(1+inflation)*(1-G164)/(1+G165)</f>
        <v>0</v>
      </c>
      <c r="H160" s="131">
        <f>G160*(1+inflation)*(1-H164)/(1+H165)</f>
        <v>0</v>
      </c>
    </row>
    <row r="161" spans="1:8" s="34" customFormat="1" x14ac:dyDescent="0.3">
      <c r="A161" s="34" t="s">
        <v>26</v>
      </c>
      <c r="B161" s="122" t="s">
        <v>132</v>
      </c>
      <c r="C161" s="124" t="s">
        <v>137</v>
      </c>
      <c r="D161" s="140">
        <v>0</v>
      </c>
      <c r="E161" s="140">
        <v>0</v>
      </c>
      <c r="F161" s="140">
        <v>0</v>
      </c>
      <c r="G161" s="131">
        <f>F161*(1+inflation)*(1-G164)/(1+G165)</f>
        <v>0</v>
      </c>
      <c r="H161" s="131">
        <f>G161*(1+inflation)*(1-H164)/(1+H165)</f>
        <v>0</v>
      </c>
    </row>
    <row r="162" spans="1:8" s="34" customFormat="1" x14ac:dyDescent="0.3">
      <c r="A162" s="34" t="s">
        <v>83</v>
      </c>
      <c r="B162" s="122" t="s">
        <v>132</v>
      </c>
      <c r="C162" s="124" t="s">
        <v>137</v>
      </c>
      <c r="D162" s="140">
        <v>0</v>
      </c>
      <c r="E162" s="140">
        <v>0</v>
      </c>
      <c r="F162" s="140">
        <v>0</v>
      </c>
      <c r="G162" s="129">
        <f>F162*(1+inflation)*(1-G164)/(1+G165)</f>
        <v>0</v>
      </c>
      <c r="H162" s="129">
        <f>G162*(1+inflation)*(1-H164)/(1+H165)</f>
        <v>0</v>
      </c>
    </row>
    <row r="163" spans="1:8" s="34" customFormat="1" x14ac:dyDescent="0.3"/>
    <row r="164" spans="1:8" s="34" customFormat="1" x14ac:dyDescent="0.3">
      <c r="A164" s="34" t="s">
        <v>27</v>
      </c>
      <c r="D164" s="114">
        <f>'Input Global'!D$40</f>
        <v>0</v>
      </c>
      <c r="E164" s="114">
        <f>'Input Global'!E40</f>
        <v>-5.6099999999999997E-2</v>
      </c>
      <c r="F164" s="114">
        <f>'Input Global'!F40</f>
        <v>-5.6099999999999997E-2</v>
      </c>
      <c r="G164" s="114">
        <f>'Input Global'!G40</f>
        <v>-5.6099999999999997E-2</v>
      </c>
      <c r="H164" s="114">
        <f>'Input Global'!H40</f>
        <v>-5.6099999999999997E-2</v>
      </c>
    </row>
    <row r="165" spans="1:8" s="34" customFormat="1" x14ac:dyDescent="0.3">
      <c r="A165" s="34" t="s">
        <v>28</v>
      </c>
      <c r="D165" s="115">
        <f>'Input Global'!D$47</f>
        <v>1.2E-2</v>
      </c>
      <c r="E165" s="115">
        <f>'Input Global'!E$47</f>
        <v>1.2E-2</v>
      </c>
      <c r="F165" s="115">
        <f>'Input Global'!F$47</f>
        <v>1.2E-2</v>
      </c>
      <c r="G165" s="115">
        <f>'Input Global'!G$47</f>
        <v>1.2E-2</v>
      </c>
      <c r="H165" s="115">
        <f>'Input Global'!H$47</f>
        <v>1.2E-2</v>
      </c>
    </row>
    <row r="166" spans="1:8" s="34" customFormat="1" x14ac:dyDescent="0.3"/>
    <row r="167" spans="1:8" s="34" customFormat="1" x14ac:dyDescent="0.3">
      <c r="A167" s="44" t="s">
        <v>30</v>
      </c>
    </row>
    <row r="168" spans="1:8" s="34" customFormat="1" x14ac:dyDescent="0.3">
      <c r="A168" s="52" t="str">
        <f>Dist1</f>
        <v>ActewAGL</v>
      </c>
    </row>
    <row r="169" spans="1:8" s="34" customFormat="1" x14ac:dyDescent="0.3">
      <c r="A169" s="39" t="s">
        <v>66</v>
      </c>
      <c r="B169" s="122" t="s">
        <v>132</v>
      </c>
      <c r="C169" s="124" t="s">
        <v>136</v>
      </c>
      <c r="D169" s="139">
        <v>51.136499999999998</v>
      </c>
      <c r="E169" s="139">
        <v>55.662500000000001</v>
      </c>
      <c r="F169" s="139">
        <v>60.042499999999997</v>
      </c>
      <c r="G169" s="128">
        <f>F169*(1+inflation)*(1-G175)</f>
        <v>64.87306923125</v>
      </c>
      <c r="H169" s="128">
        <f>G169*(1+inflation)*(1-H175)</f>
        <v>70.092269833577149</v>
      </c>
    </row>
    <row r="170" spans="1:8" s="34" customFormat="1" x14ac:dyDescent="0.3">
      <c r="A170" s="39" t="s">
        <v>72</v>
      </c>
      <c r="B170" s="122" t="s">
        <v>132</v>
      </c>
      <c r="C170" s="124" t="s">
        <v>137</v>
      </c>
      <c r="D170" s="140">
        <v>4.7009999999999996E-2</v>
      </c>
      <c r="E170" s="140">
        <v>4.9329999999999999E-2</v>
      </c>
      <c r="F170" s="140">
        <v>5.2069999999999998E-2</v>
      </c>
      <c r="G170" s="129">
        <f>F170*(1+inflation)*(1-G175)</f>
        <v>5.6259161674999995E-2</v>
      </c>
      <c r="H170" s="129">
        <f>G170*(1+inflation)*(1-H175)</f>
        <v>6.0785351879657924E-2</v>
      </c>
    </row>
    <row r="171" spans="1:8" s="34" customFormat="1" x14ac:dyDescent="0.3">
      <c r="A171" s="39" t="s">
        <v>73</v>
      </c>
      <c r="B171" s="122" t="s">
        <v>132</v>
      </c>
      <c r="C171" s="124" t="s">
        <v>137</v>
      </c>
      <c r="D171" s="140">
        <v>0</v>
      </c>
      <c r="E171" s="140">
        <v>0</v>
      </c>
      <c r="F171" s="140">
        <v>0</v>
      </c>
      <c r="G171" s="129">
        <f>F171*(1+inflation)*(1-G175)</f>
        <v>0</v>
      </c>
      <c r="H171" s="129">
        <f>G171*(1+inflation)*(1-H175)</f>
        <v>0</v>
      </c>
    </row>
    <row r="172" spans="1:8" s="34" customFormat="1" x14ac:dyDescent="0.3">
      <c r="A172" s="39" t="s">
        <v>82</v>
      </c>
      <c r="B172" s="122" t="s">
        <v>132</v>
      </c>
      <c r="C172" s="124" t="s">
        <v>137</v>
      </c>
      <c r="D172" s="140">
        <v>0</v>
      </c>
      <c r="E172" s="140">
        <v>0</v>
      </c>
      <c r="F172" s="140">
        <v>0</v>
      </c>
      <c r="G172" s="129">
        <f>F172*(1+inflation)*(1-G175)</f>
        <v>0</v>
      </c>
      <c r="H172" s="129">
        <f>G172*(1+inflation)*(1-H175)</f>
        <v>0</v>
      </c>
    </row>
    <row r="173" spans="1:8" s="34" customFormat="1" x14ac:dyDescent="0.3">
      <c r="A173" s="39" t="s">
        <v>90</v>
      </c>
      <c r="B173" s="122" t="s">
        <v>132</v>
      </c>
      <c r="C173" s="124" t="s">
        <v>137</v>
      </c>
      <c r="D173" s="140">
        <v>0</v>
      </c>
      <c r="E173" s="140">
        <v>0</v>
      </c>
      <c r="F173" s="140">
        <v>0</v>
      </c>
      <c r="G173" s="129">
        <f>F173*(1+inflation)*(1-G175)</f>
        <v>0</v>
      </c>
      <c r="H173" s="129">
        <f>G173*(1+inflation)*(1-H175)</f>
        <v>0</v>
      </c>
    </row>
    <row r="174" spans="1:8" s="34" customFormat="1" x14ac:dyDescent="0.3"/>
    <row r="175" spans="1:8" s="34" customFormat="1" x14ac:dyDescent="0.3">
      <c r="A175" s="34" t="s">
        <v>27</v>
      </c>
      <c r="E175" s="115">
        <f>'Input Global'!E41</f>
        <v>-0.04</v>
      </c>
      <c r="F175" s="115">
        <f>'Input Global'!F41</f>
        <v>-5.4100000000000002E-2</v>
      </c>
      <c r="G175" s="115">
        <f>'Input Global'!G41</f>
        <v>-5.4100000000000002E-2</v>
      </c>
      <c r="H175" s="115">
        <f>'Input Global'!H41</f>
        <v>-5.4100000000000002E-2</v>
      </c>
    </row>
    <row r="176" spans="1:8" s="34" customFormat="1" x14ac:dyDescent="0.3"/>
    <row r="177" spans="1:8" s="34" customFormat="1" x14ac:dyDescent="0.3">
      <c r="A177" s="44" t="s">
        <v>86</v>
      </c>
    </row>
    <row r="178" spans="1:8" s="34" customFormat="1" x14ac:dyDescent="0.3">
      <c r="A178" s="86" t="str">
        <f>Dist1</f>
        <v>ActewAGL</v>
      </c>
    </row>
    <row r="179" spans="1:8" s="34" customFormat="1" x14ac:dyDescent="0.3">
      <c r="A179" s="87" t="s">
        <v>87</v>
      </c>
      <c r="B179" s="122" t="s">
        <v>132</v>
      </c>
      <c r="C179" s="124" t="s">
        <v>136</v>
      </c>
      <c r="D179" s="142">
        <v>46.683499999999995</v>
      </c>
      <c r="E179" s="142">
        <v>46.54</v>
      </c>
      <c r="F179" s="142">
        <v>46.54</v>
      </c>
      <c r="G179" s="128">
        <f>F179*(1+inflation)*(1-G180)</f>
        <v>47.703499999999998</v>
      </c>
      <c r="H179" s="128">
        <f>G179*(1+inflation)*(1-H180)</f>
        <v>48.896087499999993</v>
      </c>
    </row>
    <row r="180" spans="1:8" s="34" customFormat="1" x14ac:dyDescent="0.3">
      <c r="A180" s="88" t="s">
        <v>88</v>
      </c>
      <c r="B180" s="122" t="s">
        <v>132</v>
      </c>
      <c r="C180" s="122" t="s">
        <v>23</v>
      </c>
      <c r="E180" s="141">
        <v>0</v>
      </c>
      <c r="F180" s="141">
        <v>0</v>
      </c>
      <c r="G180" s="141">
        <v>0</v>
      </c>
      <c r="H180" s="141">
        <v>0</v>
      </c>
    </row>
    <row r="181" spans="1:8" s="34" customFormat="1" x14ac:dyDescent="0.3">
      <c r="A181" s="44"/>
    </row>
    <row r="182" spans="1:8" s="34" customFormat="1" x14ac:dyDescent="0.3">
      <c r="A182" s="44" t="s">
        <v>71</v>
      </c>
    </row>
    <row r="183" spans="1:8" s="34" customFormat="1" x14ac:dyDescent="0.3">
      <c r="A183" s="52" t="str">
        <f>Dist1</f>
        <v>ActewAGL</v>
      </c>
    </row>
    <row r="184" spans="1:8" s="34" customFormat="1" x14ac:dyDescent="0.3">
      <c r="A184" s="34" t="s">
        <v>108</v>
      </c>
      <c r="B184" s="122" t="s">
        <v>132</v>
      </c>
      <c r="C184" s="124" t="s">
        <v>136</v>
      </c>
      <c r="D184" s="143">
        <v>0</v>
      </c>
      <c r="E184" s="143">
        <v>3.1840909090909091</v>
      </c>
      <c r="F184" s="143">
        <v>4.0862066473988436</v>
      </c>
      <c r="G184" s="143">
        <v>4.9794551169694001</v>
      </c>
      <c r="H184" s="143">
        <v>5.3800647297673807</v>
      </c>
    </row>
    <row r="185" spans="1:8" s="34" customFormat="1" x14ac:dyDescent="0.3">
      <c r="A185" s="34" t="s">
        <v>34</v>
      </c>
      <c r="B185" s="122" t="s">
        <v>132</v>
      </c>
      <c r="C185" s="124" t="s">
        <v>137</v>
      </c>
      <c r="D185" s="144">
        <v>0</v>
      </c>
      <c r="E185" s="144">
        <v>2.9271481942714818E-3</v>
      </c>
      <c r="F185" s="144">
        <v>3.6213352601156064E-3</v>
      </c>
      <c r="G185" s="144">
        <v>4.3182783518440548E-3</v>
      </c>
      <c r="H185" s="144">
        <v>4.6656946409457884E-3</v>
      </c>
    </row>
    <row r="186" spans="1:8" s="34" customFormat="1" x14ac:dyDescent="0.3">
      <c r="A186" s="34" t="s">
        <v>35</v>
      </c>
      <c r="B186" s="122" t="s">
        <v>132</v>
      </c>
      <c r="C186" s="124" t="s">
        <v>137</v>
      </c>
      <c r="D186" s="144">
        <v>0</v>
      </c>
      <c r="E186" s="144">
        <v>0</v>
      </c>
      <c r="F186" s="144">
        <v>0</v>
      </c>
      <c r="G186" s="144">
        <v>0</v>
      </c>
      <c r="H186" s="144">
        <v>0</v>
      </c>
    </row>
    <row r="187" spans="1:8" s="34" customFormat="1" x14ac:dyDescent="0.3">
      <c r="A187" s="34" t="s">
        <v>36</v>
      </c>
      <c r="B187" s="122" t="s">
        <v>132</v>
      </c>
      <c r="C187" s="124" t="s">
        <v>137</v>
      </c>
      <c r="D187" s="144">
        <v>0</v>
      </c>
      <c r="E187" s="144">
        <v>0</v>
      </c>
      <c r="F187" s="144">
        <v>0</v>
      </c>
      <c r="G187" s="144">
        <v>0</v>
      </c>
      <c r="H187" s="144">
        <v>0</v>
      </c>
    </row>
    <row r="188" spans="1:8" s="34" customFormat="1" x14ac:dyDescent="0.3">
      <c r="A188" s="34" t="s">
        <v>85</v>
      </c>
      <c r="B188" s="122" t="s">
        <v>132</v>
      </c>
      <c r="C188" s="124" t="s">
        <v>137</v>
      </c>
      <c r="D188" s="144">
        <v>0</v>
      </c>
      <c r="E188" s="144">
        <v>0</v>
      </c>
      <c r="F188" s="144">
        <v>0</v>
      </c>
      <c r="G188" s="144">
        <v>0</v>
      </c>
      <c r="H188" s="144">
        <v>0</v>
      </c>
    </row>
    <row r="189" spans="1:8" s="34" customFormat="1" x14ac:dyDescent="0.3">
      <c r="A189" s="56"/>
      <c r="C189" s="39"/>
      <c r="D189" s="39"/>
      <c r="E189" s="39"/>
      <c r="F189" s="39"/>
    </row>
    <row r="190" spans="1:8" s="34" customFormat="1" x14ac:dyDescent="0.3">
      <c r="A190" s="44" t="s">
        <v>33</v>
      </c>
    </row>
    <row r="191" spans="1:8" s="34" customFormat="1" x14ac:dyDescent="0.3">
      <c r="A191" s="52" t="str">
        <f>Dist1</f>
        <v>ActewAGL</v>
      </c>
    </row>
    <row r="192" spans="1:8" s="34" customFormat="1" x14ac:dyDescent="0.3">
      <c r="A192" s="34" t="s">
        <v>19</v>
      </c>
      <c r="B192" s="122" t="s">
        <v>132</v>
      </c>
      <c r="C192" s="124" t="s">
        <v>74</v>
      </c>
      <c r="D192" s="127">
        <v>7000</v>
      </c>
      <c r="E192" s="127">
        <v>7000</v>
      </c>
      <c r="F192" s="127">
        <v>7000</v>
      </c>
      <c r="G192" s="145">
        <f>F192</f>
        <v>7000</v>
      </c>
      <c r="H192" s="145">
        <f>G192</f>
        <v>7000</v>
      </c>
    </row>
    <row r="193" spans="1:8" s="34" customFormat="1" x14ac:dyDescent="0.3">
      <c r="A193" s="34" t="s">
        <v>20</v>
      </c>
      <c r="B193" s="122"/>
      <c r="C193" s="124"/>
      <c r="D193" s="127"/>
      <c r="E193" s="126"/>
      <c r="F193" s="126"/>
      <c r="G193" s="126"/>
      <c r="H193" s="126"/>
    </row>
    <row r="194" spans="1:8" s="34" customFormat="1" x14ac:dyDescent="0.3">
      <c r="A194" s="34" t="s">
        <v>21</v>
      </c>
      <c r="B194" s="122"/>
      <c r="C194" s="124"/>
      <c r="D194" s="127"/>
      <c r="E194" s="126"/>
      <c r="F194" s="126"/>
      <c r="G194" s="126"/>
      <c r="H194" s="126"/>
    </row>
    <row r="195" spans="1:8" s="34" customFormat="1" x14ac:dyDescent="0.3">
      <c r="A195" s="34" t="s">
        <v>84</v>
      </c>
      <c r="B195" s="122"/>
      <c r="C195" s="124"/>
      <c r="D195" s="127"/>
      <c r="E195" s="126"/>
      <c r="F195" s="126"/>
      <c r="G195" s="126"/>
      <c r="H195" s="126"/>
    </row>
    <row r="196" spans="1:8" s="34" customFormat="1" x14ac:dyDescent="0.3">
      <c r="A196" s="34" t="s">
        <v>55</v>
      </c>
      <c r="C196" s="124"/>
      <c r="D196" s="75">
        <f>SUM(D192:D195)</f>
        <v>7000</v>
      </c>
      <c r="E196" s="75">
        <f t="shared" ref="E196:H196" si="15">SUM(E192:E195)</f>
        <v>7000</v>
      </c>
      <c r="F196" s="75">
        <f t="shared" si="15"/>
        <v>7000</v>
      </c>
      <c r="G196" s="75">
        <f t="shared" si="15"/>
        <v>7000</v>
      </c>
      <c r="H196" s="75">
        <f t="shared" si="15"/>
        <v>7000</v>
      </c>
    </row>
    <row r="198" spans="1:8" x14ac:dyDescent="0.3">
      <c r="A198" s="21" t="str">
        <f ca="1">LEFT(B2,3) &amp; " Jurisdiction Data"</f>
        <v>Inp Jurisdiction Data</v>
      </c>
      <c r="B198" s="96"/>
      <c r="C198" s="96"/>
      <c r="D198" s="96"/>
      <c r="E198" s="96"/>
      <c r="F198" s="96"/>
      <c r="G198" s="96"/>
      <c r="H198" s="96"/>
    </row>
    <row r="199" spans="1:8" x14ac:dyDescent="0.3">
      <c r="A199" s="52" t="str">
        <f>Dist1</f>
        <v>ActewAGL</v>
      </c>
      <c r="B199" s="96"/>
      <c r="C199" s="96"/>
      <c r="D199" s="96"/>
      <c r="E199" s="96"/>
      <c r="F199" s="96"/>
      <c r="G199" s="96"/>
      <c r="H199" s="96"/>
    </row>
    <row r="200" spans="1:8" x14ac:dyDescent="0.3">
      <c r="A200" s="80" t="s">
        <v>64</v>
      </c>
      <c r="B200" s="122" t="s">
        <v>130</v>
      </c>
      <c r="C200" s="123" t="s">
        <v>138</v>
      </c>
      <c r="D200" s="123">
        <v>10.56</v>
      </c>
      <c r="E200" s="123">
        <v>10.86</v>
      </c>
      <c r="F200" s="123">
        <v>11.131499999999999</v>
      </c>
      <c r="G200" s="147">
        <f>F200*(1+inflation)</f>
        <v>11.409787499999998</v>
      </c>
      <c r="H200" s="99">
        <f t="shared" ref="H200" si="16">G200*(1+inflation)</f>
        <v>11.695032187499997</v>
      </c>
    </row>
    <row r="201" spans="1:8" x14ac:dyDescent="0.3">
      <c r="A201" s="80" t="s">
        <v>101</v>
      </c>
      <c r="B201" s="122" t="s">
        <v>130</v>
      </c>
      <c r="C201" s="123" t="s">
        <v>138</v>
      </c>
      <c r="D201" s="123">
        <v>59.33</v>
      </c>
      <c r="E201" s="123">
        <v>55.28</v>
      </c>
      <c r="F201" s="123">
        <v>49.95</v>
      </c>
      <c r="G201" s="58"/>
      <c r="H201" s="59"/>
    </row>
    <row r="202" spans="1:8" x14ac:dyDescent="0.3">
      <c r="A202" s="80" t="s">
        <v>102</v>
      </c>
      <c r="B202" s="122" t="s">
        <v>130</v>
      </c>
      <c r="C202" s="123" t="s">
        <v>138</v>
      </c>
      <c r="D202" s="123">
        <v>3.8622080000000008</v>
      </c>
      <c r="E202" s="123">
        <v>3.47384</v>
      </c>
      <c r="F202" s="123">
        <v>3.49</v>
      </c>
      <c r="G202" s="60"/>
      <c r="H202" s="61"/>
    </row>
    <row r="203" spans="1:8" x14ac:dyDescent="0.3">
      <c r="A203" s="80" t="s">
        <v>118</v>
      </c>
      <c r="B203" s="122" t="s">
        <v>130</v>
      </c>
      <c r="C203" s="123" t="s">
        <v>138</v>
      </c>
      <c r="D203" s="123">
        <v>0.76</v>
      </c>
      <c r="E203" s="123">
        <v>0.78</v>
      </c>
      <c r="F203" s="149">
        <f>E203*(1+inflation)</f>
        <v>0.79949999999999999</v>
      </c>
      <c r="G203" s="60"/>
      <c r="H203" s="61"/>
    </row>
    <row r="204" spans="1:8" x14ac:dyDescent="0.3">
      <c r="A204" s="80" t="s">
        <v>103</v>
      </c>
      <c r="B204" s="122" t="s">
        <v>130</v>
      </c>
      <c r="C204" s="123" t="s">
        <v>138</v>
      </c>
      <c r="D204" s="123">
        <v>0</v>
      </c>
      <c r="E204" s="123">
        <v>0</v>
      </c>
      <c r="F204" s="146">
        <v>21.18</v>
      </c>
      <c r="G204" s="60"/>
      <c r="H204" s="61"/>
    </row>
    <row r="205" spans="1:8" x14ac:dyDescent="0.3">
      <c r="A205" s="80" t="s">
        <v>16</v>
      </c>
      <c r="B205" s="122" t="s">
        <v>130</v>
      </c>
      <c r="C205" s="123" t="s">
        <v>138</v>
      </c>
      <c r="D205" s="148">
        <f>5.15*(F205/SUM($F$205:$F$206))</f>
        <v>1.9463509991311903</v>
      </c>
      <c r="E205" s="148">
        <f>13.14*(F205/SUM($F$205:$F$206))</f>
        <v>4.9660295395308429</v>
      </c>
      <c r="F205" s="146">
        <v>4.3499999999999996</v>
      </c>
      <c r="G205" s="117"/>
      <c r="H205" s="118"/>
    </row>
    <row r="206" spans="1:8" x14ac:dyDescent="0.3">
      <c r="A206" s="80" t="s">
        <v>70</v>
      </c>
      <c r="B206" s="122" t="s">
        <v>130</v>
      </c>
      <c r="C206" s="123" t="s">
        <v>138</v>
      </c>
      <c r="D206" s="148">
        <f>5.15*(F206/SUM($F$205:$F$206))</f>
        <v>3.2036490008688103</v>
      </c>
      <c r="E206" s="148">
        <f>13.14*(F206/SUM($F$205:$F$206))</f>
        <v>8.1739704604691585</v>
      </c>
      <c r="F206" s="146">
        <v>7.16</v>
      </c>
      <c r="G206" s="151"/>
      <c r="H206" s="152"/>
    </row>
    <row r="207" spans="1:8" x14ac:dyDescent="0.3">
      <c r="A207" s="62" t="str">
        <f>Scheme1</f>
        <v>Greenhouse gas abatement scheme</v>
      </c>
      <c r="B207" s="122" t="s">
        <v>130</v>
      </c>
      <c r="C207" s="123" t="s">
        <v>138</v>
      </c>
      <c r="D207" s="123">
        <v>1.05</v>
      </c>
      <c r="E207" s="123">
        <v>1.1299999999999999</v>
      </c>
      <c r="F207" s="123"/>
      <c r="G207" s="153"/>
      <c r="H207" s="154"/>
    </row>
    <row r="208" spans="1:8" x14ac:dyDescent="0.3">
      <c r="A208" s="56" t="str">
        <f>Scheme2</f>
        <v>Energy Savings</v>
      </c>
      <c r="B208" s="122" t="s">
        <v>25</v>
      </c>
      <c r="C208" s="123" t="s">
        <v>138</v>
      </c>
      <c r="D208" s="123"/>
      <c r="E208" s="123"/>
      <c r="F208" s="150">
        <v>1.1200000000000001</v>
      </c>
      <c r="G208" s="150">
        <v>3.08</v>
      </c>
      <c r="H208" s="150">
        <v>3.9200000000000004</v>
      </c>
    </row>
    <row r="209" spans="1:8" x14ac:dyDescent="0.3">
      <c r="A209" s="96"/>
      <c r="B209" s="96"/>
      <c r="C209" s="96"/>
      <c r="D209" s="43"/>
      <c r="E209" s="61"/>
      <c r="F209" s="61"/>
      <c r="G209" s="61"/>
      <c r="H209" s="61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7" manualBreakCount="7">
    <brk id="24" max="16383" man="1"/>
    <brk id="44" max="16383" man="1"/>
    <brk id="56" max="16383" man="1"/>
    <brk id="63" max="16383" man="1"/>
    <brk id="69" max="16383" man="1"/>
    <brk id="92" max="16383" man="1"/>
    <brk id="18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4"/>
  <sheetViews>
    <sheetView zoomScaleNormal="100" workbookViewId="0">
      <pane xSplit="3" ySplit="4" topLeftCell="D5" activePane="bottomRight" state="frozenSplit"/>
      <selection activeCell="I13" sqref="I13"/>
      <selection pane="topRight" activeCell="I13" sqref="I13"/>
      <selection pane="bottomLeft" activeCell="I13" sqref="I13"/>
      <selection pane="bottomRight" activeCell="F173" sqref="F173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89" bestFit="1" customWidth="1"/>
    <col min="5" max="5" width="11.5703125" style="89" bestFit="1" customWidth="1"/>
    <col min="6" max="6" width="12.7109375" style="89" bestFit="1" customWidth="1"/>
    <col min="7" max="7" width="10.42578125" style="89" bestFit="1" customWidth="1"/>
    <col min="8" max="8" width="12" style="89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3" t="str">
        <f ca="1">'Input Global'!B1</f>
        <v>2012 Pricing Trends - model - ACT</v>
      </c>
      <c r="C1" s="23"/>
      <c r="D1" s="91"/>
      <c r="E1" s="91"/>
      <c r="F1" s="91"/>
      <c r="G1" s="90"/>
      <c r="H1" s="90"/>
      <c r="I1" s="72" t="s">
        <v>31</v>
      </c>
    </row>
    <row r="2" spans="1:16" s="22" customFormat="1" ht="19.5" thickBot="1" x14ac:dyDescent="0.35">
      <c r="B2" s="24" t="str">
        <f ca="1">RIGHT(CELL("filename",B2),LEN(CELL("filename",B2))-SEARCH("]",CELL("filename",B2)))</f>
        <v>Calc (Jurisdiction)</v>
      </c>
      <c r="C2" s="25"/>
      <c r="D2" s="92"/>
      <c r="E2" s="92"/>
      <c r="F2" s="92"/>
      <c r="G2" s="90"/>
      <c r="H2" s="90"/>
      <c r="I2" s="78" t="s">
        <v>25</v>
      </c>
    </row>
    <row r="3" spans="1:16" s="22" customFormat="1" ht="17.25" thickBot="1" x14ac:dyDescent="0.35">
      <c r="D3" s="90"/>
      <c r="E3" s="90"/>
      <c r="F3" s="90"/>
      <c r="G3" s="90"/>
      <c r="H3" s="90"/>
      <c r="I3" s="79" t="s">
        <v>32</v>
      </c>
    </row>
    <row r="4" spans="1:16" s="22" customFormat="1" ht="15.75" x14ac:dyDescent="0.3">
      <c r="B4" s="26"/>
      <c r="C4" s="26" t="s">
        <v>8</v>
      </c>
      <c r="D4" s="93" t="str">
        <f>'Input Global'!D4</f>
        <v>2010/11</v>
      </c>
      <c r="E4" s="93" t="str">
        <f>'Input Global'!E4</f>
        <v>2011/12</v>
      </c>
      <c r="F4" s="93" t="str">
        <f>'Input Global'!F4</f>
        <v>2012/13</v>
      </c>
      <c r="G4" s="93" t="str">
        <f>'Input Global'!G4</f>
        <v>2013/14</v>
      </c>
      <c r="H4" s="93" t="str">
        <f>'Input Global'!H4</f>
        <v>2014/15</v>
      </c>
    </row>
    <row r="6" spans="1:16" ht="18.75" x14ac:dyDescent="0.3">
      <c r="A6" s="16" t="s">
        <v>38</v>
      </c>
      <c r="B6" s="21" t="s">
        <v>42</v>
      </c>
    </row>
    <row r="7" spans="1:16" x14ac:dyDescent="0.3">
      <c r="A7" s="18" t="str">
        <f>Dist1</f>
        <v>ActewAGL</v>
      </c>
    </row>
    <row r="8" spans="1:16" x14ac:dyDescent="0.3">
      <c r="A8" s="17" t="s">
        <v>1</v>
      </c>
      <c r="B8" s="17" t="s">
        <v>37</v>
      </c>
      <c r="C8" s="17" t="s">
        <v>57</v>
      </c>
      <c r="D8" s="99">
        <f ca="1">VLOOKUP($B$2,dist1wholesale,COLUMN('Calc (Jurisdiction)'!D8),FALSE)*'Input Global'!D18</f>
        <v>52159.420844799999</v>
      </c>
      <c r="E8" s="99">
        <f ca="1">VLOOKUP($B$2,dist1wholesale,COLUMN('Calc (Jurisdiction)'!E8),FALSE)*'Input Global'!E18</f>
        <v>48555.799904</v>
      </c>
      <c r="F8" s="99">
        <f ca="1">VLOOKUP($B$2,dist1wholesale,COLUMN('Calc (Jurisdiction)'!F8),FALSE)*'Input Global'!F18</f>
        <v>44237.736200000007</v>
      </c>
      <c r="G8" s="99">
        <f ca="1">VLOOKUP($B$2,dist1wholesale,COLUMN('Calc (Jurisdiction)'!G8),FALSE)*'Input Global'!G18</f>
        <v>40462.240522986336</v>
      </c>
      <c r="H8" s="99">
        <f ca="1">VLOOKUP($B$2,dist1wholesale,COLUMN('Calc (Jurisdiction)'!H8),FALSE)*'Input Global'!H18</f>
        <v>42080.644591097982</v>
      </c>
      <c r="K8" s="89"/>
      <c r="L8" s="89"/>
      <c r="M8" s="89"/>
    </row>
    <row r="9" spans="1:16" x14ac:dyDescent="0.3">
      <c r="A9" s="17" t="s">
        <v>40</v>
      </c>
      <c r="B9" s="17" t="s">
        <v>37</v>
      </c>
      <c r="C9" s="17" t="s">
        <v>57</v>
      </c>
      <c r="D9" s="99">
        <f>'Input General'!D8+(SUMPRODUCT('Input General'!D9:D12,'Input General'!D35:D38)*'Input Global'!D18)</f>
        <v>9371.2440000000006</v>
      </c>
      <c r="E9" s="99">
        <f>'Input General'!E8+(SUMPRODUCT('Input General'!E9:E12,'Input General'!E35:E38)*'Input Global'!E18)</f>
        <v>11230.812</v>
      </c>
      <c r="F9" s="99">
        <f>'Input General'!F8+(SUMPRODUCT('Input General'!F9:F12,'Input General'!F35:F38)*'Input Global'!F18)</f>
        <v>13481.868</v>
      </c>
      <c r="G9" s="99">
        <f>'Input General'!G8+(SUMPRODUCT('Input General'!G9:G12,'Input General'!G35:G38)*'Input Global'!G18)</f>
        <v>14421.102583666005</v>
      </c>
      <c r="H9" s="99">
        <f>'Input General'!H8+(SUMPRODUCT('Input General'!H9:H12,'Input General'!H35:H38)*'Input Global'!H18)</f>
        <v>15425.770355311175</v>
      </c>
      <c r="J9" s="89"/>
      <c r="K9" s="89"/>
      <c r="L9" s="89"/>
      <c r="M9" s="89"/>
    </row>
    <row r="10" spans="1:16" x14ac:dyDescent="0.3">
      <c r="A10" s="17" t="s">
        <v>39</v>
      </c>
      <c r="B10" s="17" t="s">
        <v>37</v>
      </c>
      <c r="C10" s="17" t="s">
        <v>57</v>
      </c>
      <c r="D10" s="99">
        <f>'Input General'!D16+SUMPRODUCT('Input General'!D17:D20,'Input General'!D35:D38)*'Input Global'!D18+'Input General'!D23</f>
        <v>48123.356</v>
      </c>
      <c r="E10" s="99">
        <f>'Input General'!E16+SUMPRODUCT('Input General'!E17:E20,'Input General'!E35:E38)*'Input Global'!E18+'Input General'!E23</f>
        <v>47748.006841843089</v>
      </c>
      <c r="F10" s="99">
        <f>'Input General'!F16+SUMPRODUCT('Input General'!F17:F20,'Input General'!F35:F38)*'Input Global'!F18+'Input General'!F23</f>
        <v>49764.360297109823</v>
      </c>
      <c r="G10" s="99">
        <f>'Input General'!G16+SUMPRODUCT('Input General'!G17:G20,'Input General'!G35:G38)*'Input Global'!G18+'Input General'!G23</f>
        <v>53122.695849794043</v>
      </c>
      <c r="H10" s="99">
        <f>'Input General'!H16+SUMPRODUCT('Input General'!H17:H20,'Input General'!H35:H38)*'Input Global'!H18+'Input General'!H23</f>
        <v>57132.021704274601</v>
      </c>
      <c r="J10" s="89"/>
      <c r="K10" s="89"/>
      <c r="L10" s="89"/>
      <c r="M10" s="89"/>
      <c r="P10" s="28"/>
    </row>
    <row r="11" spans="1:16" x14ac:dyDescent="0.3">
      <c r="A11" s="17" t="s">
        <v>15</v>
      </c>
      <c r="B11" s="17" t="s">
        <v>37</v>
      </c>
      <c r="C11" s="17" t="s">
        <v>57</v>
      </c>
      <c r="D11" s="99">
        <f>'Input General'!D42*'Input Global'!D18</f>
        <v>8612.7360000000008</v>
      </c>
      <c r="E11" s="99">
        <f>'Input General'!E42*'Input Global'!E18</f>
        <v>8857.4160000000011</v>
      </c>
      <c r="F11" s="99">
        <f>'Input General'!F42*'Input Global'!F18</f>
        <v>9078.8513999999996</v>
      </c>
      <c r="G11" s="99">
        <f>'Input General'!G42*'Input Global'!G18</f>
        <v>9305.8226849999974</v>
      </c>
      <c r="H11" s="99">
        <f>'Input General'!H42*'Input Global'!H18</f>
        <v>9538.4682521249961</v>
      </c>
      <c r="J11" s="89"/>
      <c r="K11" s="89"/>
      <c r="L11" s="89"/>
      <c r="M11" s="89"/>
      <c r="O11" s="28"/>
      <c r="P11" s="28"/>
    </row>
    <row r="12" spans="1:16" x14ac:dyDescent="0.3">
      <c r="A12" s="17" t="s">
        <v>109</v>
      </c>
      <c r="B12" s="17" t="s">
        <v>37</v>
      </c>
      <c r="C12" s="17" t="s">
        <v>57</v>
      </c>
      <c r="D12" s="99">
        <f ca="1">VLOOKUP($B$2,'Input General'!$A$59:$H$59,COLUMN(D12),FALSE)*'Input Global'!D33</f>
        <v>6659.4677496191998</v>
      </c>
      <c r="E12" s="99">
        <f ca="1">VLOOKUP($B$2,'Input General'!$A$59:$H$59,COLUMN(E12),FALSE)*'Input Global'!E33</f>
        <v>7059.7676468159998</v>
      </c>
      <c r="F12" s="99">
        <f ca="1">VLOOKUP($B$2,'Input General'!$A$59:$H$59,COLUMN(F12),FALSE)*'Input Global'!F33</f>
        <v>7965.0234143999996</v>
      </c>
      <c r="G12" s="99">
        <f ca="1">VLOOKUP($B$2,'Input General'!$A$59:$H$59,COLUMN(G12),FALSE)*'Input Global'!G33</f>
        <v>8077.9351630586016</v>
      </c>
      <c r="H12" s="99">
        <f ca="1">VLOOKUP($B$2,'Input General'!$A$59:$H$59,COLUMN(H12),FALSE)*'Input Global'!H33</f>
        <v>8452.3522308903721</v>
      </c>
      <c r="J12" s="89"/>
      <c r="K12" s="89"/>
      <c r="L12" s="89"/>
      <c r="M12" s="89"/>
      <c r="O12" s="28"/>
      <c r="P12" s="28"/>
    </row>
    <row r="13" spans="1:16" x14ac:dyDescent="0.3">
      <c r="A13" s="17" t="s">
        <v>41</v>
      </c>
      <c r="D13" s="95"/>
      <c r="E13" s="95"/>
      <c r="F13" s="95"/>
      <c r="G13" s="95"/>
      <c r="H13" s="95"/>
      <c r="K13" s="29"/>
      <c r="M13" s="30"/>
      <c r="O13" s="28"/>
      <c r="P13" s="28"/>
    </row>
    <row r="14" spans="1:16" x14ac:dyDescent="0.3">
      <c r="A14" s="19" t="s">
        <v>62</v>
      </c>
      <c r="B14" s="17" t="s">
        <v>37</v>
      </c>
      <c r="C14" s="17" t="s">
        <v>57</v>
      </c>
      <c r="D14" s="99">
        <f>'Input General'!D27+SUMPRODUCT('Input General'!D28:D31,'Input General'!D35:D38)*'Input Global'!D18</f>
        <v>0</v>
      </c>
      <c r="E14" s="99">
        <f>'Input General'!E27+SUMPRODUCT('Input General'!E28:E31,'Input General'!E35:E38)*'Input Global'!E18</f>
        <v>2705.7911581569115</v>
      </c>
      <c r="F14" s="99">
        <f>'Input General'!F27+SUMPRODUCT('Input General'!F28:F31,'Input General'!F35:F38)*'Input Global'!F18</f>
        <v>3362.1817028901728</v>
      </c>
      <c r="G14" s="99">
        <f>'Input General'!G27+SUMPRODUCT('Input General'!G28:G31,'Input General'!G35:G38)*'Input Global'!G18</f>
        <v>4019.9333354609507</v>
      </c>
      <c r="H14" s="99">
        <f>'Input General'!H27+SUMPRODUCT('Input General'!H28:H31,'Input General'!H35:H38)*'Input Global'!H18</f>
        <v>4343.3470221321231</v>
      </c>
      <c r="J14" s="89"/>
      <c r="K14" s="89"/>
      <c r="L14" s="89"/>
      <c r="M14" s="89"/>
      <c r="O14" s="28"/>
      <c r="P14" s="28"/>
    </row>
    <row r="15" spans="1:16" x14ac:dyDescent="0.3">
      <c r="A15" s="19" t="str">
        <f>'Input Frontier'!A15</f>
        <v>Carbon costs</v>
      </c>
      <c r="B15" s="17" t="s">
        <v>37</v>
      </c>
      <c r="C15" s="17" t="s">
        <v>57</v>
      </c>
      <c r="D15" s="99">
        <f ca="1">VLOOKUP($B$2,'Input General'!$A$66:$H$68, COLUMN('Input General'!D66),FALSE)*'Input Global'!D$18</f>
        <v>0</v>
      </c>
      <c r="E15" s="99">
        <f ca="1">VLOOKUP($B$2,'Input General'!$A$66:$H$68, COLUMN('Input General'!E66),FALSE)*'Input Global'!E$18</f>
        <v>0</v>
      </c>
      <c r="F15" s="99">
        <f ca="1">VLOOKUP($B$2,'Input General'!$A$66:$H$68, COLUMN('Input General'!F66),FALSE)*'Input Global'!F$18</f>
        <v>17274.407999999999</v>
      </c>
      <c r="G15" s="99">
        <f ca="1">VLOOKUP($B$2,'Input General'!$A$66:$H$68, COLUMN('Input General'!G66),FALSE)*'Input Global'!G$18</f>
        <v>19375.617858324636</v>
      </c>
      <c r="H15" s="99">
        <f ca="1">VLOOKUP($B$2,'Input General'!$A$66:$H$68, COLUMN('Input General'!H66),FALSE)*'Input Global'!H$18</f>
        <v>18548.404357506064</v>
      </c>
      <c r="I15" s="31"/>
      <c r="J15" s="89"/>
      <c r="K15" s="89"/>
      <c r="L15" s="89"/>
      <c r="M15" s="89"/>
    </row>
    <row r="16" spans="1:16" x14ac:dyDescent="0.3">
      <c r="A16" s="19" t="s">
        <v>91</v>
      </c>
      <c r="B16" s="17" t="s">
        <v>37</v>
      </c>
      <c r="C16" s="17" t="s">
        <v>57</v>
      </c>
      <c r="D16" s="99">
        <f ca="1">VLOOKUP($B$2,'Input General'!$A77:$H80,COLUMN(D16),FALSE)*'Input Global'!D18</f>
        <v>1587.4438748913988</v>
      </c>
      <c r="E16" s="99">
        <f ca="1">VLOOKUP($B$2,'Input General'!$A77:$H80,COLUMN(E16),FALSE)*'Input Global'!E18</f>
        <v>4050.2936924413557</v>
      </c>
      <c r="F16" s="99">
        <f ca="1">VLOOKUP($B$2,'Input General'!$A77:$H80,COLUMN(F16),FALSE)*'Input Global'!F18</f>
        <v>3547.8599999999997</v>
      </c>
      <c r="G16" s="99">
        <f ca="1">VLOOKUP($B$2,'Input General'!$A77:$H80,COLUMN(G16),FALSE)*'Input Global'!G18</f>
        <v>3801.7325829785041</v>
      </c>
      <c r="H16" s="99">
        <f ca="1">VLOOKUP($B$2,'Input General'!$A77:$H80,COLUMN(H16),FALSE)*'Input Global'!H18</f>
        <v>4025.8696698361773</v>
      </c>
      <c r="I16" s="31"/>
      <c r="J16" s="89"/>
      <c r="K16" s="89"/>
      <c r="L16" s="89"/>
      <c r="M16" s="89"/>
    </row>
    <row r="17" spans="1:13" x14ac:dyDescent="0.3">
      <c r="A17" s="19" t="s">
        <v>92</v>
      </c>
      <c r="B17" s="17" t="s">
        <v>37</v>
      </c>
      <c r="C17" s="17" t="s">
        <v>57</v>
      </c>
      <c r="D17" s="99">
        <f ca="1">'Input General'!D43*'Input Global'!D18</f>
        <v>2612.8961251086021</v>
      </c>
      <c r="E17" s="99">
        <f ca="1">'Input General'!E43*'Input Global'!E18</f>
        <v>6666.6903075586461</v>
      </c>
      <c r="F17" s="99">
        <f ca="1">'Input General'!F43*'Input Global'!F18</f>
        <v>5839.6959999999999</v>
      </c>
      <c r="G17" s="99">
        <f ca="1">'Input General'!G43*'Input Global'!G18</f>
        <v>2570.1984902821314</v>
      </c>
      <c r="H17" s="99">
        <f ca="1">'Input General'!H43*'Input Global'!H18</f>
        <v>2233.3633605015671</v>
      </c>
      <c r="I17" s="31"/>
      <c r="J17" s="89"/>
      <c r="K17" s="89"/>
      <c r="L17" s="89"/>
      <c r="M17" s="89"/>
    </row>
    <row r="18" spans="1:13" x14ac:dyDescent="0.3">
      <c r="A18" s="19" t="str">
        <f>Scheme1</f>
        <v>Greenhouse gas abatement scheme</v>
      </c>
      <c r="B18" s="17" t="s">
        <v>37</v>
      </c>
      <c r="C18" s="17" t="s">
        <v>57</v>
      </c>
      <c r="D18" s="99">
        <f ca="1">VLOOKUP($B$2,'Input General'!$A$47:$H$47,COLUMN(D18),FALSE)*'Input Global'!D$18</f>
        <v>856.38</v>
      </c>
      <c r="E18" s="99">
        <f ca="1">VLOOKUP($B$2,'Input General'!$A$47:$H$47,COLUMN(E18),FALSE)*'Input Global'!E$18</f>
        <v>921.62799999999993</v>
      </c>
      <c r="F18" s="99">
        <f ca="1">VLOOKUP($B$2,'Input General'!$A$47:$H$47,COLUMN(F18),FALSE)*'Input Global'!F$18</f>
        <v>0</v>
      </c>
      <c r="G18" s="99">
        <f ca="1">VLOOKUP($B$2,'Input General'!$A$47:$H$47,COLUMN(G18),FALSE)*'Input Global'!G$18</f>
        <v>0</v>
      </c>
      <c r="H18" s="99">
        <f ca="1">VLOOKUP($B$2,'Input General'!$A$47:$H$47,COLUMN(H18),FALSE)*'Input Global'!H$18</f>
        <v>0</v>
      </c>
      <c r="I18" s="31"/>
      <c r="J18" s="89"/>
      <c r="K18" s="89"/>
      <c r="L18" s="89"/>
      <c r="M18" s="89"/>
    </row>
    <row r="19" spans="1:13" x14ac:dyDescent="0.3">
      <c r="A19" s="19" t="str">
        <f>Scheme2</f>
        <v>Energy Savings</v>
      </c>
      <c r="B19" s="17" t="s">
        <v>37</v>
      </c>
      <c r="C19" s="17" t="s">
        <v>57</v>
      </c>
      <c r="D19" s="99">
        <f ca="1">VLOOKUP($B$2,'Input General'!$A$53:$H$53,COLUMN(D19),FALSE)*'Input Global'!D$18</f>
        <v>0</v>
      </c>
      <c r="E19" s="99">
        <f ca="1">VLOOKUP($B$2,'Input General'!$A$53:$H$53,COLUMN(E19),FALSE)*'Input Global'!E$18</f>
        <v>0</v>
      </c>
      <c r="F19" s="99">
        <f ca="1">VLOOKUP($B$2,'Input General'!$A$53:$H$53,COLUMN(F19),FALSE)*'Input Global'!F$18</f>
        <v>913.47200000000009</v>
      </c>
      <c r="G19" s="99">
        <f ca="1">VLOOKUP($B$2,'Input General'!$A$53:$H$53,COLUMN(G19),FALSE)*'Input Global'!G$18</f>
        <v>2512.0479999999998</v>
      </c>
      <c r="H19" s="99">
        <f ca="1">VLOOKUP($B$2,'Input General'!$A$53:$H$53,COLUMN(H19),FALSE)*'Input Global'!H$18</f>
        <v>3197.1520000000005</v>
      </c>
      <c r="I19" s="31"/>
    </row>
    <row r="20" spans="1:13" x14ac:dyDescent="0.3">
      <c r="A20" s="20" t="s">
        <v>55</v>
      </c>
      <c r="B20" s="20" t="s">
        <v>37</v>
      </c>
      <c r="C20" s="20" t="s">
        <v>57</v>
      </c>
      <c r="D20" s="99">
        <f ca="1">SUM(D8:D19)</f>
        <v>129982.9445944192</v>
      </c>
      <c r="E20" s="99">
        <f t="shared" ref="E20:H20" ca="1" si="0">SUM(E8:E19)</f>
        <v>137796.205550816</v>
      </c>
      <c r="F20" s="99">
        <f t="shared" ca="1" si="0"/>
        <v>155465.45701439999</v>
      </c>
      <c r="G20" s="99">
        <f t="shared" ca="1" si="0"/>
        <v>157669.3270715512</v>
      </c>
      <c r="H20" s="99">
        <f t="shared" ca="1" si="0"/>
        <v>164977.39354367505</v>
      </c>
      <c r="J20" s="89"/>
      <c r="K20" s="89"/>
      <c r="L20" s="89"/>
      <c r="M20" s="89"/>
    </row>
    <row r="21" spans="1:13" hidden="1" x14ac:dyDescent="0.3">
      <c r="A21" s="120"/>
      <c r="B21" s="120"/>
      <c r="C21" s="120"/>
      <c r="D21" s="121"/>
      <c r="E21" s="121"/>
      <c r="F21" s="121"/>
      <c r="G21" s="121"/>
      <c r="H21" s="121"/>
    </row>
    <row r="22" spans="1:13" hidden="1" x14ac:dyDescent="0.3">
      <c r="A22" s="18" t="str">
        <f>Dist2</f>
        <v>blank</v>
      </c>
    </row>
    <row r="23" spans="1:13" hidden="1" x14ac:dyDescent="0.3">
      <c r="A23" s="17" t="str">
        <f>A8</f>
        <v>Wholesale</v>
      </c>
      <c r="B23" s="17" t="s">
        <v>37</v>
      </c>
      <c r="C23" s="17" t="s">
        <v>57</v>
      </c>
      <c r="D23" s="99">
        <f>IF(LEFT($A$22,5)="blank",0,VLOOKUP($B$2,dist2wholesale,COLUMN(D8),FALSE)*'Input Global'!D19)</f>
        <v>0</v>
      </c>
      <c r="E23" s="99">
        <f>IF(LEFT($A$22,5)="blank",0,VLOOKUP($B$2,dist2wholesale,COLUMN(E8),FALSE)*'Input Global'!E19)</f>
        <v>0</v>
      </c>
      <c r="F23" s="99">
        <f>IF(LEFT($A$22,5)="blank",0,VLOOKUP($B$2,dist2wholesale,COLUMN(F8),FALSE)*'Input Global'!F19)</f>
        <v>0</v>
      </c>
      <c r="G23" s="99">
        <f>IF(LEFT($A$22,5)="blank",0,VLOOKUP($B$2,dist2wholesale,COLUMN(G8),FALSE)*'Input Global'!G19)</f>
        <v>0</v>
      </c>
      <c r="H23" s="99">
        <f>IF(LEFT($A$22,5)="blank",0,VLOOKUP($B$2,dist2wholesale,COLUMN(H8),FALSE)*'Input Global'!H19)</f>
        <v>0</v>
      </c>
    </row>
    <row r="24" spans="1:13" hidden="1" x14ac:dyDescent="0.3">
      <c r="A24" s="17" t="str">
        <f t="shared" ref="A24:A34" si="1">A9</f>
        <v>Transmission</v>
      </c>
      <c r="B24" s="17" t="s">
        <v>37</v>
      </c>
      <c r="C24" s="17" t="s">
        <v>57</v>
      </c>
      <c r="D24" s="99">
        <f>IF(LEFT($A$22,5)="blank",0,'Input General'!#REF!+(SUMPRODUCT('Input General'!#REF!,'Input General'!#REF!)*'Input Global'!D19))</f>
        <v>0</v>
      </c>
      <c r="E24" s="99">
        <f>IF(LEFT($A$22,5)="blank",0,'Input General'!#REF!+(SUMPRODUCT('Input General'!#REF!,'Input General'!#REF!)*'Input Global'!E19))</f>
        <v>0</v>
      </c>
      <c r="F24" s="99">
        <f>IF(LEFT($A$22,5)="blank",0,'Input General'!#REF!+(SUMPRODUCT('Input General'!#REF!,'Input General'!#REF!)*'Input Global'!F19))</f>
        <v>0</v>
      </c>
      <c r="G24" s="99">
        <f>IF(LEFT($A$22,5)="blank",0,'Input General'!#REF!+(SUMPRODUCT('Input General'!#REF!,'Input General'!#REF!)*'Input Global'!G19))</f>
        <v>0</v>
      </c>
      <c r="H24" s="99">
        <f>IF(LEFT($A$22,5)="blank",0,'Input General'!#REF!+(SUMPRODUCT('Input General'!#REF!,'Input General'!#REF!)*'Input Global'!H19))</f>
        <v>0</v>
      </c>
    </row>
    <row r="25" spans="1:13" hidden="1" x14ac:dyDescent="0.3">
      <c r="A25" s="17" t="str">
        <f t="shared" si="1"/>
        <v>Distribution</v>
      </c>
      <c r="B25" s="17" t="s">
        <v>37</v>
      </c>
      <c r="C25" s="17" t="s">
        <v>57</v>
      </c>
      <c r="D25" s="99">
        <f>IF(LEFT($A$22,5)="blank",0,'Input General'!#REF!+SUMPRODUCT('Input General'!#REF!,'Input General'!#REF!)*'Input Global'!D19+'Input General'!#REF!)</f>
        <v>0</v>
      </c>
      <c r="E25" s="99">
        <f>IF(LEFT($A$22,5)="blank",0,'Input General'!#REF!+SUMPRODUCT('Input General'!#REF!,'Input General'!#REF!)*'Input Global'!E19+'Input General'!#REF!)</f>
        <v>0</v>
      </c>
      <c r="F25" s="99">
        <f>IF(LEFT($A$22,5)="blank",0,'Input General'!#REF!+SUMPRODUCT('Input General'!#REF!,'Input General'!#REF!)*'Input Global'!F19+'Input General'!#REF!)</f>
        <v>0</v>
      </c>
      <c r="G25" s="99">
        <f>IF(LEFT($A$22,5)="blank",0,'Input General'!#REF!+SUMPRODUCT('Input General'!#REF!,'Input General'!#REF!)*'Input Global'!G19+'Input General'!#REF!)</f>
        <v>0</v>
      </c>
      <c r="H25" s="99">
        <f>IF(LEFT($A$22,5)="blank",0,'Input General'!#REF!+SUMPRODUCT('Input General'!#REF!,'Input General'!#REF!)*'Input Global'!H19+'Input General'!#REF!)</f>
        <v>0</v>
      </c>
    </row>
    <row r="26" spans="1:13" hidden="1" x14ac:dyDescent="0.3">
      <c r="A26" s="17" t="str">
        <f t="shared" si="1"/>
        <v>Retail</v>
      </c>
      <c r="B26" s="17" t="s">
        <v>37</v>
      </c>
      <c r="C26" s="17" t="s">
        <v>57</v>
      </c>
      <c r="D26" s="99">
        <f>IF(LEFT($A$22,5)="blank",0,'Input General'!#REF!*'Input Global'!D19)</f>
        <v>0</v>
      </c>
      <c r="E26" s="99">
        <f>IF(LEFT($A$22,5)="blank",0,'Input General'!#REF!*'Input Global'!E19)</f>
        <v>0</v>
      </c>
      <c r="F26" s="99">
        <f>IF(LEFT($A$22,5)="blank",0,'Input General'!#REF!*'Input Global'!F19)</f>
        <v>0</v>
      </c>
      <c r="G26" s="99">
        <f>IF(LEFT($A$22,5)="blank",0,'Input General'!#REF!*'Input Global'!G19)</f>
        <v>0</v>
      </c>
      <c r="H26" s="99">
        <f>IF(LEFT($A$22,5)="blank",0,'Input General'!#REF!*'Input Global'!H19)</f>
        <v>0</v>
      </c>
    </row>
    <row r="27" spans="1:13" hidden="1" x14ac:dyDescent="0.3">
      <c r="A27" s="17" t="str">
        <f t="shared" si="1"/>
        <v>Retail and Residual</v>
      </c>
      <c r="B27" s="17" t="s">
        <v>37</v>
      </c>
      <c r="C27" s="17" t="s">
        <v>57</v>
      </c>
      <c r="D27" s="99">
        <f>IF(LEFT($A$22,5)="blank",0,VLOOKUP($B$2,'Input General'!#REF!,COLUMN(D12),FALSE)*'Input Global'!D$34)</f>
        <v>0</v>
      </c>
      <c r="E27" s="99">
        <f>IF(LEFT($A$22,5)="blank",0,VLOOKUP($B$2,'Input General'!#REF!,COLUMN(E12),FALSE)*'Input Global'!E$34)</f>
        <v>0</v>
      </c>
      <c r="F27" s="99">
        <f>IF(LEFT($A$22,5)="blank",0,VLOOKUP($B$2,'Input General'!#REF!,COLUMN(F12),FALSE)*'Input Global'!F$34)</f>
        <v>0</v>
      </c>
      <c r="G27" s="99">
        <f>IF(LEFT($A$22,5)="blank",0,VLOOKUP($B$2,'Input General'!#REF!,COLUMN(G12),FALSE)*'Input Global'!G$34)</f>
        <v>0</v>
      </c>
      <c r="H27" s="99">
        <f>IF(LEFT($A$22,5)="blank",0,VLOOKUP($B$2,'Input General'!#REF!,COLUMN(H12),FALSE)*'Input Global'!H$34)</f>
        <v>0</v>
      </c>
      <c r="I27" s="31"/>
    </row>
    <row r="28" spans="1:13" hidden="1" x14ac:dyDescent="0.3">
      <c r="A28" s="17" t="str">
        <f t="shared" si="1"/>
        <v>Green Schemes</v>
      </c>
      <c r="D28" s="95"/>
      <c r="E28" s="95"/>
      <c r="F28" s="95"/>
      <c r="G28" s="95"/>
      <c r="H28" s="95"/>
    </row>
    <row r="29" spans="1:13" hidden="1" x14ac:dyDescent="0.3">
      <c r="A29" s="19" t="str">
        <f t="shared" si="1"/>
        <v>Feed-in Tariffs</v>
      </c>
      <c r="B29" s="17" t="s">
        <v>37</v>
      </c>
      <c r="C29" s="17" t="s">
        <v>57</v>
      </c>
      <c r="D29" s="99">
        <f>IF(LEFT($A$22,5)="blank",0,'Input General'!#REF!+SUMPRODUCT('Input General'!#REF!,'Input General'!#REF!)*'Input Global'!D19)</f>
        <v>0</v>
      </c>
      <c r="E29" s="99">
        <f>IF(LEFT($A$22,5)="blank",0,'Input General'!#REF!+SUMPRODUCT('Input General'!#REF!,'Input General'!#REF!)*'Input Global'!E19)</f>
        <v>0</v>
      </c>
      <c r="F29" s="99">
        <f>IF(LEFT($A$22,5)="blank",0,'Input General'!#REF!+SUMPRODUCT('Input General'!#REF!,'Input General'!#REF!)*'Input Global'!F19)</f>
        <v>0</v>
      </c>
      <c r="G29" s="99">
        <f>IF(LEFT($A$22,5)="blank",0,'Input General'!#REF!+SUMPRODUCT('Input General'!#REF!,'Input General'!#REF!)*'Input Global'!G19)</f>
        <v>0</v>
      </c>
      <c r="H29" s="99">
        <f>IF(LEFT($A$22,5)="blank",0,'Input General'!#REF!+SUMPRODUCT('Input General'!#REF!,'Input General'!#REF!)*'Input Global'!H19)</f>
        <v>0</v>
      </c>
    </row>
    <row r="30" spans="1:13" hidden="1" x14ac:dyDescent="0.3">
      <c r="A30" s="19" t="str">
        <f t="shared" si="1"/>
        <v>Carbon costs</v>
      </c>
      <c r="B30" s="17" t="s">
        <v>37</v>
      </c>
      <c r="C30" s="17" t="s">
        <v>57</v>
      </c>
      <c r="D30" s="99">
        <f>IF(LEFT($A$22,5)="blank",0,VLOOKUP($B$2,'Input General'!#REF!,COLUMN('Input General'!#REF!),FALSE)*'Input Global'!D$19)</f>
        <v>0</v>
      </c>
      <c r="E30" s="99">
        <f>IF(LEFT($A$22,5)="blank",0,VLOOKUP($B$2,'Input General'!#REF!,COLUMN('Input General'!#REF!),FALSE)*'Input Global'!E$19)</f>
        <v>0</v>
      </c>
      <c r="F30" s="99">
        <f>IF(LEFT($A$22,5)="blank",0,VLOOKUP($B$2,'Input General'!#REF!,COLUMN('Input General'!#REF!),FALSE)*'Input Global'!F$19)</f>
        <v>0</v>
      </c>
      <c r="G30" s="99">
        <f>IF(LEFT($A$22,5)="blank",0,VLOOKUP($B$2,'Input General'!#REF!,COLUMN('Input General'!#REF!),FALSE)*'Input Global'!G$19)</f>
        <v>0</v>
      </c>
      <c r="H30" s="99">
        <f>IF(LEFT($A$22,5)="blank",0,VLOOKUP($B$2,'Input General'!#REF!,COLUMN('Input General'!#REF!),FALSE)*'Input Global'!H$19)</f>
        <v>0</v>
      </c>
      <c r="I30" s="31"/>
    </row>
    <row r="31" spans="1:13" hidden="1" x14ac:dyDescent="0.3">
      <c r="A31" s="19" t="str">
        <f t="shared" si="1"/>
        <v>Large Scale Renewable Energy Target</v>
      </c>
      <c r="B31" s="17" t="s">
        <v>37</v>
      </c>
      <c r="C31" s="17" t="s">
        <v>57</v>
      </c>
      <c r="D31" s="99">
        <f>IF(LEFT($A$22,5)="blank",0,VLOOKUP($B$2,'Input General'!#REF!,COLUMN(D16),FALSE)*'Input Global'!D19)</f>
        <v>0</v>
      </c>
      <c r="E31" s="99">
        <f>IF(LEFT($A$22,5)="blank",0,VLOOKUP($B$2,'Input General'!#REF!,COLUMN(E16),FALSE)*'Input Global'!E19)</f>
        <v>0</v>
      </c>
      <c r="F31" s="99">
        <f>IF(LEFT($A$22,5)="blank",0,VLOOKUP($B$2,'Input General'!#REF!,COLUMN(F16),FALSE)*'Input Global'!F19)</f>
        <v>0</v>
      </c>
      <c r="G31" s="99">
        <f>IF(LEFT($A$22,5)="blank",0,VLOOKUP($B$2,'Input General'!#REF!,COLUMN(G16),FALSE)*'Input Global'!G19)</f>
        <v>0</v>
      </c>
      <c r="H31" s="99">
        <f>IF(LEFT($A$22,5)="blank",0,VLOOKUP($B$2,'Input General'!#REF!,COLUMN(H16),FALSE)*'Input Global'!H19)</f>
        <v>0</v>
      </c>
      <c r="I31" s="31"/>
    </row>
    <row r="32" spans="1:13" hidden="1" x14ac:dyDescent="0.3">
      <c r="A32" s="19" t="str">
        <f t="shared" si="1"/>
        <v>Small Scale Renewable Energy Scheme</v>
      </c>
      <c r="B32" s="17" t="s">
        <v>37</v>
      </c>
      <c r="C32" s="17" t="s">
        <v>57</v>
      </c>
      <c r="D32" s="99">
        <f>IF(LEFT($A$22,5)="blank",0,'Input General'!#REF!*'Input Global'!D$19)</f>
        <v>0</v>
      </c>
      <c r="E32" s="99">
        <f>IF(LEFT($A$22,5)="blank",0,'Input General'!#REF!*'Input Global'!E$19)</f>
        <v>0</v>
      </c>
      <c r="F32" s="99">
        <f>IF(LEFT($A$22,5)="blank",0,'Input General'!#REF!*'Input Global'!F$19)</f>
        <v>0</v>
      </c>
      <c r="G32" s="99">
        <f>IF(LEFT($A$22,5)="blank",0,'Input General'!#REF!*'Input Global'!G$19)</f>
        <v>0</v>
      </c>
      <c r="H32" s="99">
        <f>IF(LEFT($A$22,5)="blank",0,'Input General'!#REF!*'Input Global'!H$19)</f>
        <v>0</v>
      </c>
      <c r="I32" s="31"/>
    </row>
    <row r="33" spans="1:9" hidden="1" x14ac:dyDescent="0.3">
      <c r="A33" s="19" t="str">
        <f t="shared" si="1"/>
        <v>Greenhouse gas abatement scheme</v>
      </c>
      <c r="B33" s="17" t="s">
        <v>37</v>
      </c>
      <c r="C33" s="17" t="s">
        <v>57</v>
      </c>
      <c r="D33" s="99">
        <f>IF(LEFT($A$22,5)="blank",0,VLOOKUP($B$2,'Input General'!#REF!,COLUMN(D33),FALSE)*'Input Global'!D$19)</f>
        <v>0</v>
      </c>
      <c r="E33" s="99">
        <f>IF(LEFT($A$22,5)="blank",0,VLOOKUP($B$2,'Input General'!#REF!,COLUMN(E33),FALSE)*'Input Global'!E$19)</f>
        <v>0</v>
      </c>
      <c r="F33" s="99">
        <f>IF(LEFT($A$22,5)="blank",0,VLOOKUP($B$2,'Input General'!#REF!,COLUMN(F33),FALSE)*'Input Global'!F$19)</f>
        <v>0</v>
      </c>
      <c r="G33" s="99">
        <f>IF(LEFT($A$22,5)="blank",0,VLOOKUP($B$2,'Input General'!#REF!,COLUMN(G33),FALSE)*'Input Global'!G$19)</f>
        <v>0</v>
      </c>
      <c r="H33" s="99">
        <f>IF(LEFT($A$22,5)="blank",0,VLOOKUP($B$2,'Input General'!#REF!,COLUMN(H33),FALSE)*'Input Global'!H$19)</f>
        <v>0</v>
      </c>
      <c r="I33" s="31"/>
    </row>
    <row r="34" spans="1:9" hidden="1" x14ac:dyDescent="0.3">
      <c r="A34" s="19" t="str">
        <f t="shared" si="1"/>
        <v>Energy Savings</v>
      </c>
      <c r="B34" s="17" t="s">
        <v>37</v>
      </c>
      <c r="C34" s="17" t="s">
        <v>57</v>
      </c>
      <c r="D34" s="99">
        <f>IF(LEFT($A$22,5)="blank",0,VLOOKUP($B$2,'Input General'!#REF!,COLUMN(D34),FALSE)*'Input Global'!D$19)</f>
        <v>0</v>
      </c>
      <c r="E34" s="99">
        <f>IF(LEFT($A$22,5)="blank",0,VLOOKUP($B$2,'Input General'!#REF!,COLUMN(E34),FALSE)*'Input Global'!E$19)</f>
        <v>0</v>
      </c>
      <c r="F34" s="99">
        <f>IF(LEFT($A$22,5)="blank",0,VLOOKUP($B$2,'Input General'!#REF!,COLUMN(F34),FALSE)*'Input Global'!F$19)</f>
        <v>0</v>
      </c>
      <c r="G34" s="99">
        <f>IF(LEFT($A$22,5)="blank",0,VLOOKUP($B$2,'Input General'!#REF!,COLUMN(G34),FALSE)*'Input Global'!G$19)</f>
        <v>0</v>
      </c>
      <c r="H34" s="99">
        <f>IF(LEFT($A$22,5)="blank",0,VLOOKUP($B$2,'Input General'!#REF!,COLUMN(H34),FALSE)*'Input Global'!H$19)</f>
        <v>0</v>
      </c>
      <c r="I34" s="31"/>
    </row>
    <row r="35" spans="1:9" hidden="1" x14ac:dyDescent="0.3">
      <c r="A35" s="20" t="s">
        <v>55</v>
      </c>
      <c r="B35" s="20" t="s">
        <v>37</v>
      </c>
      <c r="C35" s="20" t="s">
        <v>57</v>
      </c>
      <c r="D35" s="99">
        <f>SUM(D23:D34)</f>
        <v>0</v>
      </c>
      <c r="E35" s="99">
        <f t="shared" ref="E35:H35" si="2">SUM(E23:E34)</f>
        <v>0</v>
      </c>
      <c r="F35" s="99">
        <f t="shared" si="2"/>
        <v>0</v>
      </c>
      <c r="G35" s="99">
        <f t="shared" si="2"/>
        <v>0</v>
      </c>
      <c r="H35" s="99">
        <f t="shared" si="2"/>
        <v>0</v>
      </c>
    </row>
    <row r="36" spans="1:9" hidden="1" x14ac:dyDescent="0.3">
      <c r="A36" s="120"/>
      <c r="B36" s="120"/>
      <c r="C36" s="120"/>
      <c r="D36" s="121"/>
      <c r="E36" s="121"/>
      <c r="F36" s="121"/>
      <c r="G36" s="121"/>
      <c r="H36" s="121"/>
    </row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B38" s="17" t="s">
        <v>37</v>
      </c>
      <c r="C38" s="17" t="s">
        <v>57</v>
      </c>
      <c r="D38" s="99">
        <f>IF(LEFT($A$37,5)="blank",0,VLOOKUP($B$2,dist3wholesale,COLUMN(D38),FALSE)*'Input Global'!D20)</f>
        <v>0</v>
      </c>
      <c r="E38" s="99">
        <f>IF(LEFT($A$37,5)="blank",0,VLOOKUP($B$2,dist3wholesale,COLUMN(E38),FALSE)*'Input Global'!E20)</f>
        <v>0</v>
      </c>
      <c r="F38" s="99">
        <f>IF(LEFT($A$37,5)="blank",0,VLOOKUP($B$2,dist3wholesale,COLUMN(F38),FALSE)*'Input Global'!F20)</f>
        <v>0</v>
      </c>
      <c r="G38" s="99">
        <f>IF(LEFT($A$37,5)="blank",0,VLOOKUP($B$2,dist3wholesale,COLUMN(G38),FALSE)*'Input Global'!G20)</f>
        <v>0</v>
      </c>
      <c r="H38" s="99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B39" s="17" t="s">
        <v>37</v>
      </c>
      <c r="C39" s="17" t="s">
        <v>57</v>
      </c>
      <c r="D39" s="99">
        <f>IF(LEFT($A$37,5)="blank",0,'Input General'!#REF!+(SUMPRODUCT('Input General'!#REF!,'Input General'!#REF!)*'Input Global'!D$20))</f>
        <v>0</v>
      </c>
      <c r="E39" s="99">
        <f>IF(LEFT($A$37,5)="blank",0,'Input General'!#REF!+(SUMPRODUCT('Input General'!#REF!,'Input General'!#REF!)*'Input Global'!E$20))</f>
        <v>0</v>
      </c>
      <c r="F39" s="99">
        <f>IF(LEFT($A$37,5)="blank",0,'Input General'!#REF!+(SUMPRODUCT('Input General'!#REF!,'Input General'!#REF!)*'Input Global'!F$20))</f>
        <v>0</v>
      </c>
      <c r="G39" s="99">
        <f>IF(LEFT($A$37,5)="blank",0,'Input General'!#REF!+(SUMPRODUCT('Input General'!#REF!,'Input General'!#REF!)*'Input Global'!G$20))</f>
        <v>0</v>
      </c>
      <c r="H39" s="99">
        <f>IF(LEFT($A$37,5)="blank",0,'Input General'!#REF!+(SUMPRODUCT('Input General'!#REF!,'Input General'!#REF!)*'Input Global'!H$20))</f>
        <v>0</v>
      </c>
    </row>
    <row r="40" spans="1:9" hidden="1" x14ac:dyDescent="0.3">
      <c r="A40" s="17" t="str">
        <f t="shared" si="3"/>
        <v>Distribution</v>
      </c>
      <c r="B40" s="17" t="s">
        <v>37</v>
      </c>
      <c r="C40" s="17" t="s">
        <v>57</v>
      </c>
      <c r="D40" s="99">
        <f>IF(LEFT($A$37,5)="blank",0,'Input General'!#REF!+SUMPRODUCT('Input General'!#REF!,'Input General'!#REF!)*'Input Global'!D$20+'Input General'!#REF!)</f>
        <v>0</v>
      </c>
      <c r="E40" s="99">
        <f>IF(LEFT($A$37,5)="blank",0,'Input General'!#REF!+SUMPRODUCT('Input General'!#REF!,'Input General'!#REF!)*'Input Global'!E$20+'Input General'!#REF!)</f>
        <v>0</v>
      </c>
      <c r="F40" s="99">
        <f>IF(LEFT($A$37,5)="blank",0,'Input General'!#REF!+SUMPRODUCT('Input General'!#REF!,'Input General'!#REF!)*'Input Global'!F$20+'Input General'!#REF!)</f>
        <v>0</v>
      </c>
      <c r="G40" s="99">
        <f>IF(LEFT($A$37,5)="blank",0,'Input General'!#REF!+SUMPRODUCT('Input General'!#REF!,'Input General'!#REF!)*'Input Global'!G$20+'Input General'!#REF!)</f>
        <v>0</v>
      </c>
      <c r="H40" s="99">
        <f>IF(LEFT($A$37,5)="blank",0,'Input General'!#REF!+SUMPRODUCT('Input General'!#REF!,'Input General'!#REF!)*'Input Global'!H$20+'Input General'!#REF!)</f>
        <v>0</v>
      </c>
    </row>
    <row r="41" spans="1:9" hidden="1" x14ac:dyDescent="0.3">
      <c r="A41" s="17" t="str">
        <f t="shared" si="3"/>
        <v>Retail</v>
      </c>
      <c r="B41" s="17" t="s">
        <v>37</v>
      </c>
      <c r="C41" s="17" t="s">
        <v>57</v>
      </c>
      <c r="D41" s="99">
        <f>IF(LEFT($A$37,5)="blank",0,'Input General'!#REF!*'Input Global'!D$20)</f>
        <v>0</v>
      </c>
      <c r="E41" s="99">
        <f>IF(LEFT($A$37,5)="blank",0,'Input General'!#REF!*'Input Global'!E$20)</f>
        <v>0</v>
      </c>
      <c r="F41" s="99">
        <f>IF(LEFT($A$37,5)="blank",0,'Input General'!#REF!*'Input Global'!F$20)</f>
        <v>0</v>
      </c>
      <c r="G41" s="99">
        <f>IF(LEFT($A$37,5)="blank",0,'Input General'!#REF!*'Input Global'!G$20)</f>
        <v>0</v>
      </c>
      <c r="H41" s="99">
        <f>IF(LEFT($A$37,5)="blank",0,'Input General'!#REF!*'Input Global'!H$20)</f>
        <v>0</v>
      </c>
    </row>
    <row r="42" spans="1:9" hidden="1" x14ac:dyDescent="0.3">
      <c r="A42" s="17" t="str">
        <f t="shared" si="3"/>
        <v>Retail and Residual</v>
      </c>
      <c r="B42" s="17" t="s">
        <v>37</v>
      </c>
      <c r="C42" s="17" t="s">
        <v>57</v>
      </c>
      <c r="D42" s="99">
        <f>IF(LEFT($A$37,5)="blank",0,VLOOKUP($B$2,'Input General'!#REF!,COLUMN(D27),FALSE)*'Input Global'!D$35)</f>
        <v>0</v>
      </c>
      <c r="E42" s="99">
        <f>IF(LEFT($A$37,5)="blank",0,VLOOKUP($B$2,'Input General'!#REF!,COLUMN(E27),FALSE)*'Input Global'!E$35)</f>
        <v>0</v>
      </c>
      <c r="F42" s="99">
        <f>IF(LEFT($A$37,5)="blank",0,VLOOKUP($B$2,'Input General'!#REF!,COLUMN(F27),FALSE)*'Input Global'!F$35)</f>
        <v>0</v>
      </c>
      <c r="G42" s="99">
        <f>IF(LEFT($A$37,5)="blank",0,VLOOKUP($B$2,'Input General'!#REF!,COLUMN(G27),FALSE)*'Input Global'!G$35)</f>
        <v>0</v>
      </c>
      <c r="H42" s="99">
        <f>IF(LEFT($A$37,5)="blank",0,VLOOKUP($B$2,'Input General'!#REF!,COLUMN(H27),FALSE)*'Input Global'!H$35)</f>
        <v>0</v>
      </c>
    </row>
    <row r="43" spans="1:9" hidden="1" x14ac:dyDescent="0.3">
      <c r="A43" s="17" t="str">
        <f t="shared" si="3"/>
        <v>Green Schemes</v>
      </c>
      <c r="D43" s="95"/>
      <c r="E43" s="95"/>
      <c r="F43" s="95"/>
      <c r="G43" s="95"/>
      <c r="H43" s="95"/>
    </row>
    <row r="44" spans="1:9" hidden="1" x14ac:dyDescent="0.3">
      <c r="A44" s="19" t="str">
        <f t="shared" si="3"/>
        <v>Feed-in Tariffs</v>
      </c>
      <c r="B44" s="17" t="s">
        <v>37</v>
      </c>
      <c r="C44" s="17" t="s">
        <v>57</v>
      </c>
      <c r="D44" s="99">
        <f>IF(LEFT($A$37,5)="blank",0,'Input General'!#REF!+SUMPRODUCT('Input General'!#REF!,'Input General'!#REF!)*'Input Global'!D$20)</f>
        <v>0</v>
      </c>
      <c r="E44" s="99">
        <f>IF(LEFT($A$37,5)="blank",0,'Input General'!#REF!+SUMPRODUCT('Input General'!#REF!,'Input General'!#REF!)*'Input Global'!E$20)</f>
        <v>0</v>
      </c>
      <c r="F44" s="99">
        <f>IF(LEFT($A$37,5)="blank",0,'Input General'!#REF!+SUMPRODUCT('Input General'!#REF!,'Input General'!#REF!)*'Input Global'!F$20)</f>
        <v>0</v>
      </c>
      <c r="G44" s="99">
        <f>IF(LEFT($A$37,5)="blank",0,'Input General'!#REF!+SUMPRODUCT('Input General'!#REF!,'Input General'!#REF!)*'Input Global'!G$20)</f>
        <v>0</v>
      </c>
      <c r="H44" s="99">
        <f>IF(LEFT($A$37,5)="blank",0,'Input General'!#REF!+SUMPRODUCT('Input General'!#REF!,'Input General'!#REF!)*'Input Global'!H$20)</f>
        <v>0</v>
      </c>
    </row>
    <row r="45" spans="1:9" hidden="1" x14ac:dyDescent="0.3">
      <c r="A45" s="19" t="str">
        <f t="shared" si="3"/>
        <v>Carbon costs</v>
      </c>
      <c r="B45" s="17" t="s">
        <v>37</v>
      </c>
      <c r="C45" s="17" t="s">
        <v>57</v>
      </c>
      <c r="D45" s="99">
        <f>IF(LEFT($A$37,5)="blank",0,VLOOKUP($B$2,'Input General'!#REF!,COLUMN('Input General'!#REF!),FALSE)*'Input Global'!D$20)</f>
        <v>0</v>
      </c>
      <c r="E45" s="99">
        <f>IF(LEFT($A$37,5)="blank",0,VLOOKUP($B$2,'Input General'!#REF!,COLUMN('Input General'!#REF!),FALSE)*'Input Global'!E$20)</f>
        <v>0</v>
      </c>
      <c r="F45" s="99">
        <f>IF(LEFT($A$37,5)="blank",0,VLOOKUP($B$2,'Input General'!#REF!,COLUMN('Input General'!#REF!),FALSE)*'Input Global'!F$20)</f>
        <v>0</v>
      </c>
      <c r="G45" s="99">
        <f>IF(LEFT($A$37,5)="blank",0,VLOOKUP($B$2,'Input General'!#REF!,COLUMN('Input General'!#REF!),FALSE)*'Input Global'!G$20)</f>
        <v>0</v>
      </c>
      <c r="H45" s="99">
        <f>IF(LEFT($A$37,5)="blank",0,VLOOKUP($B$2,'Input General'!#REF!,COLUMN('Input General'!#REF!),FALSE)*'Input Global'!H$20)</f>
        <v>0</v>
      </c>
    </row>
    <row r="46" spans="1:9" hidden="1" x14ac:dyDescent="0.3">
      <c r="A46" s="19" t="str">
        <f t="shared" si="3"/>
        <v>Large Scale Renewable Energy Target</v>
      </c>
      <c r="B46" s="17" t="s">
        <v>37</v>
      </c>
      <c r="C46" s="17" t="s">
        <v>57</v>
      </c>
      <c r="D46" s="99">
        <f>IF(LEFT($A$37,5)="blank",0,VLOOKUP($B$2,'Input General'!#REF!,COLUMN(D16),FALSE)*'Input Global'!D20)</f>
        <v>0</v>
      </c>
      <c r="E46" s="99">
        <f>IF(LEFT($A$37,5)="blank",0,VLOOKUP($B$2,'Input General'!#REF!,COLUMN(E16),FALSE)*'Input Global'!E20)</f>
        <v>0</v>
      </c>
      <c r="F46" s="99">
        <f>IF(LEFT($A$37,5)="blank",0,VLOOKUP($B$2,'Input General'!#REF!,COLUMN(F16),FALSE)*'Input Global'!F20)</f>
        <v>0</v>
      </c>
      <c r="G46" s="99">
        <f>IF(LEFT($A$37,5)="blank",0,VLOOKUP($B$2,'Input General'!#REF!,COLUMN(G16),FALSE)*'Input Global'!G20)</f>
        <v>0</v>
      </c>
      <c r="H46" s="99">
        <f>IF(LEFT($A$37,5)="blank",0,VLOOKUP($B$2,'Input General'!#REF!,COLUMN(H16),FALSE)*'Input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B47" s="17" t="s">
        <v>37</v>
      </c>
      <c r="C47" s="17" t="s">
        <v>57</v>
      </c>
      <c r="D47" s="99">
        <f>IF(LEFT($A$37,5)="blank",0,'Input General'!#REF!*'Input Global'!D$20)</f>
        <v>0</v>
      </c>
      <c r="E47" s="99">
        <f>IF(LEFT($A$37,5)="blank",0,'Input General'!#REF!*'Input Global'!E$20)</f>
        <v>0</v>
      </c>
      <c r="F47" s="99">
        <f>IF(LEFT($A$37,5)="blank",0,'Input General'!#REF!*'Input Global'!F$20)</f>
        <v>0</v>
      </c>
      <c r="G47" s="99">
        <f>IF(LEFT($A$37,5)="blank",0,'Input General'!#REF!*'Input Global'!G$20)</f>
        <v>0</v>
      </c>
      <c r="H47" s="99">
        <f>IF(LEFT($A$37,5)="blank",0,'Input General'!#REF!*'Input Global'!H$20)</f>
        <v>0</v>
      </c>
    </row>
    <row r="48" spans="1:9" hidden="1" x14ac:dyDescent="0.3">
      <c r="A48" s="19" t="str">
        <f t="shared" si="3"/>
        <v>Greenhouse gas abatement scheme</v>
      </c>
      <c r="B48" s="17" t="s">
        <v>37</v>
      </c>
      <c r="C48" s="17" t="s">
        <v>57</v>
      </c>
      <c r="D48" s="99">
        <f>IF(LEFT($A$37,5)="blank",0,VLOOKUP($B$2,'Input General'!#REF!,COLUMN(D33),FALSE)*'Input Global'!D$20)</f>
        <v>0</v>
      </c>
      <c r="E48" s="99">
        <f>IF(LEFT($A$37,5)="blank",0,VLOOKUP($B$2,'Input General'!#REF!,COLUMN(E33),FALSE)*'Input Global'!E$20)</f>
        <v>0</v>
      </c>
      <c r="F48" s="99">
        <f>IF(LEFT($A$37,5)="blank",0,VLOOKUP($B$2,'Input General'!#REF!,COLUMN(F33),FALSE)*'Input Global'!F$20)</f>
        <v>0</v>
      </c>
      <c r="G48" s="99">
        <f>IF(LEFT($A$37,5)="blank",0,VLOOKUP($B$2,'Input General'!#REF!,COLUMN(G33),FALSE)*'Input Global'!G$20)</f>
        <v>0</v>
      </c>
      <c r="H48" s="99">
        <f>IF(LEFT($A$37,5)="blank",0,VLOOKUP($B$2,'Input General'!#REF!,COLUMN(H33),FALSE)*'Input Global'!H$20)</f>
        <v>0</v>
      </c>
    </row>
    <row r="49" spans="1:8" hidden="1" x14ac:dyDescent="0.3">
      <c r="A49" s="19" t="str">
        <f t="shared" si="3"/>
        <v>Energy Savings</v>
      </c>
      <c r="B49" s="17" t="s">
        <v>37</v>
      </c>
      <c r="C49" s="17" t="s">
        <v>57</v>
      </c>
      <c r="D49" s="99">
        <f>IF(LEFT($A$37,5)="blank",0,VLOOKUP($B$2,'Input General'!#REF!,COLUMN(D49),FALSE)*'Input Global'!D$20)</f>
        <v>0</v>
      </c>
      <c r="E49" s="99">
        <f>IF(LEFT($A$37,5)="blank",0,VLOOKUP($B$2,'Input General'!#REF!,COLUMN(E49),FALSE)*'Input Global'!E$20)</f>
        <v>0</v>
      </c>
      <c r="F49" s="99">
        <f>IF(LEFT($A$37,5)="blank",0,VLOOKUP($B$2,'Input General'!#REF!,COLUMN(F49),FALSE)*'Input Global'!F$20)</f>
        <v>0</v>
      </c>
      <c r="G49" s="99">
        <f>IF(LEFT($A$37,5)="blank",0,VLOOKUP($B$2,'Input General'!#REF!,COLUMN(G49),FALSE)*'Input Global'!G$20)</f>
        <v>0</v>
      </c>
      <c r="H49" s="99">
        <f>IF(LEFT($A$37,5)="blank",0,VLOOKUP($B$2,'Input General'!#REF!,COLUMN(H49),FALSE)*'Input Global'!H$20)</f>
        <v>0</v>
      </c>
    </row>
    <row r="50" spans="1:8" hidden="1" x14ac:dyDescent="0.3">
      <c r="A50" s="20" t="s">
        <v>55</v>
      </c>
      <c r="B50" s="20" t="s">
        <v>37</v>
      </c>
      <c r="C50" s="20" t="s">
        <v>57</v>
      </c>
      <c r="D50" s="99">
        <f>SUM(D38:D49)</f>
        <v>0</v>
      </c>
      <c r="E50" s="99">
        <f t="shared" ref="E50:H50" si="4">SUM(E38:E49)</f>
        <v>0</v>
      </c>
      <c r="F50" s="99">
        <f t="shared" si="4"/>
        <v>0</v>
      </c>
      <c r="G50" s="99">
        <f t="shared" si="4"/>
        <v>0</v>
      </c>
      <c r="H50" s="99">
        <f t="shared" si="4"/>
        <v>0</v>
      </c>
    </row>
    <row r="51" spans="1:8" hidden="1" x14ac:dyDescent="0.3">
      <c r="A51" s="120"/>
      <c r="B51" s="120"/>
      <c r="C51" s="120"/>
      <c r="D51" s="121"/>
      <c r="E51" s="121"/>
      <c r="F51" s="121"/>
      <c r="G51" s="121"/>
      <c r="H51" s="121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37</v>
      </c>
      <c r="C53" s="17" t="s">
        <v>57</v>
      </c>
      <c r="D53" s="99">
        <f>IF(LEFT($A$52,5)="blank",0,VLOOKUP($B$2,dist4wholesale,COLUMN(D53),FALSE)*'Input Global'!D21)</f>
        <v>0</v>
      </c>
      <c r="E53" s="99">
        <f>IF(LEFT($A$52,5)="blank",0,VLOOKUP($B$2,dist4wholesale,COLUMN(E53),FALSE)*'Input Global'!E21)</f>
        <v>0</v>
      </c>
      <c r="F53" s="99">
        <f>IF(LEFT($A$52,5)="blank",0,VLOOKUP($B$2,dist4wholesale,COLUMN(F53),FALSE)*'Input Global'!F21)</f>
        <v>0</v>
      </c>
      <c r="G53" s="99">
        <f>IF(LEFT($A$52,5)="blank",0,VLOOKUP($B$2,dist4wholesale,COLUMN(G53),FALSE)*'Input Global'!G21)</f>
        <v>0</v>
      </c>
      <c r="H53" s="99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37</v>
      </c>
      <c r="C54" s="17" t="s">
        <v>57</v>
      </c>
      <c r="D54" s="99">
        <f>IF(LEFT($A$52,5)="blank",0,'Input General'!#REF!+(SUMPRODUCT('Input General'!#REF!,'Input General'!#REF!)*'Input Global'!D$21))</f>
        <v>0</v>
      </c>
      <c r="E54" s="99">
        <f>IF(LEFT($A$52,5)="blank",0,'Input General'!#REF!+(SUMPRODUCT('Input General'!#REF!,'Input General'!#REF!)*'Input Global'!E$21))</f>
        <v>0</v>
      </c>
      <c r="F54" s="99">
        <f>IF(LEFT($A$52,5)="blank",0,'Input General'!#REF!+(SUMPRODUCT('Input General'!#REF!,'Input General'!#REF!)*'Input Global'!F$21))</f>
        <v>0</v>
      </c>
      <c r="G54" s="99">
        <f>IF(LEFT($A$52,5)="blank",0,'Input General'!#REF!+(SUMPRODUCT('Input General'!#REF!,'Input General'!#REF!)*'Input Global'!G$21))</f>
        <v>0</v>
      </c>
      <c r="H54" s="99">
        <f>IF(LEFT($A$52,5)="blank",0,'Input General'!#REF!+(SUMPRODUCT('Input General'!#REF!,'Input General'!#REF!)*'Input Global'!H$21))</f>
        <v>0</v>
      </c>
    </row>
    <row r="55" spans="1:8" hidden="1" x14ac:dyDescent="0.3">
      <c r="A55" s="17" t="str">
        <f t="shared" si="5"/>
        <v>Distribution</v>
      </c>
      <c r="B55" s="17" t="s">
        <v>37</v>
      </c>
      <c r="C55" s="17" t="s">
        <v>57</v>
      </c>
      <c r="D55" s="99">
        <f>IF(LEFT($A$52,5)="blank",0,'Input General'!#REF!+SUMPRODUCT('Input General'!#REF!,'Input General'!#REF!)*'Input Global'!D$21+'Input General'!#REF!)</f>
        <v>0</v>
      </c>
      <c r="E55" s="99">
        <f>IF(LEFT($A$52,5)="blank",0,'Input General'!#REF!+SUMPRODUCT('Input General'!#REF!,'Input General'!#REF!)*'Input Global'!E$21+'Input General'!#REF!)</f>
        <v>0</v>
      </c>
      <c r="F55" s="99">
        <f>IF(LEFT($A$52,5)="blank",0,'Input General'!#REF!+SUMPRODUCT('Input General'!#REF!,'Input General'!#REF!)*'Input Global'!F$21+'Input General'!#REF!)</f>
        <v>0</v>
      </c>
      <c r="G55" s="99">
        <f>IF(LEFT($A$52,5)="blank",0,'Input General'!#REF!+SUMPRODUCT('Input General'!#REF!,'Input General'!#REF!)*'Input Global'!G$21+'Input General'!#REF!)</f>
        <v>0</v>
      </c>
      <c r="H55" s="99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s="17" t="str">
        <f t="shared" si="5"/>
        <v>Retail</v>
      </c>
      <c r="B56" s="17" t="s">
        <v>37</v>
      </c>
      <c r="C56" s="17" t="s">
        <v>57</v>
      </c>
      <c r="D56" s="99">
        <f>IF(LEFT($A$52,5)="blank",0,'Input General'!#REF!*'Input Global'!D$21)</f>
        <v>0</v>
      </c>
      <c r="E56" s="99">
        <f>IF(LEFT($A$52,5)="blank",0,'Input General'!#REF!*'Input Global'!E$21)</f>
        <v>0</v>
      </c>
      <c r="F56" s="99">
        <f>IF(LEFT($A$52,5)="blank",0,'Input General'!#REF!*'Input Global'!F$21)</f>
        <v>0</v>
      </c>
      <c r="G56" s="99">
        <f>IF(LEFT($A$52,5)="blank",0,'Input General'!#REF!*'Input Global'!G$21)</f>
        <v>0</v>
      </c>
      <c r="H56" s="99">
        <f>IF(LEFT($A$52,5)="blank",0,'Input General'!#REF!*'Input Global'!H$21)</f>
        <v>0</v>
      </c>
    </row>
    <row r="57" spans="1:8" hidden="1" x14ac:dyDescent="0.3">
      <c r="A57" s="17" t="str">
        <f t="shared" si="5"/>
        <v>Retail and Residual</v>
      </c>
      <c r="B57" s="17" t="s">
        <v>37</v>
      </c>
      <c r="C57" s="17" t="s">
        <v>57</v>
      </c>
      <c r="D57" s="99">
        <f>IF(LEFT($A$52,5)="blank",0,VLOOKUP($B$2,'Input General'!#REF!,COLUMN(D57),FALSE)*'Input Global'!D$36)</f>
        <v>0</v>
      </c>
      <c r="E57" s="99">
        <f>IF(LEFT($A$52,5)="blank",0,VLOOKUP($B$2,'Input General'!#REF!,COLUMN(E57),FALSE)*'Input Global'!E$36)</f>
        <v>0</v>
      </c>
      <c r="F57" s="99">
        <f>IF(LEFT($A$52,5)="blank",0,VLOOKUP($B$2,'Input General'!#REF!,COLUMN(F57),FALSE)*'Input Global'!F$36)</f>
        <v>0</v>
      </c>
      <c r="G57" s="99">
        <f>IF(LEFT($A$52,5)="blank",0,VLOOKUP($B$2,'Input General'!#REF!,COLUMN(G57),FALSE)*'Input Global'!G$36)</f>
        <v>0</v>
      </c>
      <c r="H57" s="99">
        <f>IF(LEFT($A$52,5)="blank",0,VLOOKUP($B$2,'Input General'!#REF!,COLUMN(H57),FALSE)*'Input Global'!H$36)</f>
        <v>0</v>
      </c>
    </row>
    <row r="58" spans="1:8" hidden="1" x14ac:dyDescent="0.3">
      <c r="A58" s="17" t="str">
        <f t="shared" si="5"/>
        <v>Green Schemes</v>
      </c>
      <c r="D58" s="95"/>
      <c r="E58" s="95"/>
      <c r="F58" s="95"/>
      <c r="G58" s="95"/>
      <c r="H58" s="95"/>
    </row>
    <row r="59" spans="1:8" hidden="1" x14ac:dyDescent="0.3">
      <c r="A59" s="19" t="str">
        <f t="shared" si="5"/>
        <v>Feed-in Tariffs</v>
      </c>
      <c r="B59" s="17" t="s">
        <v>37</v>
      </c>
      <c r="C59" s="17" t="s">
        <v>57</v>
      </c>
      <c r="D59" s="99">
        <f>IF(LEFT($A$52,5)="blank",0,'Input General'!#REF!+SUMPRODUCT('Input General'!#REF!,'Input General'!#REF!)*'Input Global'!D$21)</f>
        <v>0</v>
      </c>
      <c r="E59" s="99">
        <f>IF(LEFT($A$52,5)="blank",0,'Input General'!#REF!+SUMPRODUCT('Input General'!#REF!,'Input General'!#REF!)*'Input Global'!E$21)</f>
        <v>0</v>
      </c>
      <c r="F59" s="99">
        <f>IF(LEFT($A$52,5)="blank",0,'Input General'!#REF!+SUMPRODUCT('Input General'!#REF!,'Input General'!#REF!)*'Input Global'!F$21)</f>
        <v>0</v>
      </c>
      <c r="G59" s="99">
        <f>IF(LEFT($A$52,5)="blank",0,'Input General'!#REF!+SUMPRODUCT('Input General'!#REF!,'Input General'!#REF!)*'Input Global'!G$21)</f>
        <v>0</v>
      </c>
      <c r="H59" s="99">
        <f>IF(LEFT($A$52,5)="blank",0,'Input General'!#REF!+SUMPRODUCT('Input General'!#REF!,'Input General'!#REF!)*'Input Global'!H$21)</f>
        <v>0</v>
      </c>
    </row>
    <row r="60" spans="1:8" hidden="1" x14ac:dyDescent="0.3">
      <c r="A60" s="19" t="str">
        <f t="shared" si="5"/>
        <v>Carbon costs</v>
      </c>
      <c r="B60" s="17" t="s">
        <v>37</v>
      </c>
      <c r="C60" s="17" t="s">
        <v>57</v>
      </c>
      <c r="D60" s="99">
        <f>IF(LEFT($A$52,5)="blank",0,VLOOKUP($B$2,'Input General'!#REF!,COLUMN(D60),FALSE)*'Input Global'!D$21)</f>
        <v>0</v>
      </c>
      <c r="E60" s="99">
        <f>IF(LEFT($A$52,5)="blank",0,VLOOKUP($B$2,'Input General'!#REF!,COLUMN(E60),FALSE)*'Input Global'!E$21)</f>
        <v>0</v>
      </c>
      <c r="F60" s="99">
        <f>IF(LEFT($A$52,5)="blank",0,VLOOKUP($B$2,'Input General'!#REF!,COLUMN(F60),FALSE)*'Input Global'!F$21)</f>
        <v>0</v>
      </c>
      <c r="G60" s="99">
        <f>IF(LEFT($A$52,5)="blank",0,VLOOKUP($B$2,'Input General'!#REF!,COLUMN(G60),FALSE)*'Input Global'!G$21)</f>
        <v>0</v>
      </c>
      <c r="H60" s="99">
        <f>IF(LEFT($A$52,5)="blank",0,VLOOKUP($B$2,'Input General'!#REF!,COLUMN(H60),FALSE)*'Input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37</v>
      </c>
      <c r="C61" s="17" t="s">
        <v>57</v>
      </c>
      <c r="D61" s="99">
        <f>IF(LEFT($A$52,5)="blank",0,VLOOKUP($B$2,'Input General'!#REF!,COLUMN(D61),FALSE)*'Input Global'!D21)</f>
        <v>0</v>
      </c>
      <c r="E61" s="99">
        <f>IF(LEFT($A$52,5)="blank",0,VLOOKUP($B$2,'Input General'!#REF!,COLUMN(E61),FALSE)*'Input Global'!E21)</f>
        <v>0</v>
      </c>
      <c r="F61" s="99">
        <f>IF(LEFT($A$52,5)="blank",0,VLOOKUP($B$2,'Input General'!#REF!,COLUMN(F61),FALSE)*'Input Global'!F21)</f>
        <v>0</v>
      </c>
      <c r="G61" s="99">
        <f>IF(LEFT($A$52,5)="blank",0,VLOOKUP($B$2,'Input General'!#REF!,COLUMN(G61),FALSE)*'Input Global'!G21)</f>
        <v>0</v>
      </c>
      <c r="H61" s="99">
        <f>IF(LEFT($A$52,5)="blank",0,VLOOKUP($B$2,'Input General'!#REF!,COLUMN(H61),FALSE)*'Input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37</v>
      </c>
      <c r="C62" s="17" t="s">
        <v>57</v>
      </c>
      <c r="D62" s="99">
        <f>IF(LEFT($A$52,5)="blank",0,'Input General'!#REF!*'Input Global'!D$21)</f>
        <v>0</v>
      </c>
      <c r="E62" s="99">
        <f>IF(LEFT($A$52,5)="blank",0,'Input General'!#REF!*'Input Global'!E$21)</f>
        <v>0</v>
      </c>
      <c r="F62" s="99">
        <f>IF(LEFT($A$52,5)="blank",0,'Input General'!#REF!*'Input Global'!F$21)</f>
        <v>0</v>
      </c>
      <c r="G62" s="99">
        <f>IF(LEFT($A$52,5)="blank",0,'Input General'!#REF!*'Input Global'!G$21)</f>
        <v>0</v>
      </c>
      <c r="H62" s="99">
        <f>IF(LEFT($A$52,5)="blank",0,'Input General'!#REF!*'Input Global'!H$21)</f>
        <v>0</v>
      </c>
    </row>
    <row r="63" spans="1:8" hidden="1" x14ac:dyDescent="0.3">
      <c r="A63" s="19" t="str">
        <f t="shared" si="5"/>
        <v>Greenhouse gas abatement scheme</v>
      </c>
      <c r="B63" s="17" t="s">
        <v>37</v>
      </c>
      <c r="C63" s="17" t="s">
        <v>57</v>
      </c>
      <c r="D63" s="99">
        <f>IF(LEFT($A$52,5)="blank",0,VLOOKUP($B$2,'Input General'!#REF!,COLUMN(D48),FALSE)*'Input Global'!D$21)</f>
        <v>0</v>
      </c>
      <c r="E63" s="99">
        <f>IF(LEFT($A$52,5)="blank",0,VLOOKUP($B$2,'Input General'!#REF!,COLUMN(E48),FALSE)*'Input Global'!E$21)</f>
        <v>0</v>
      </c>
      <c r="F63" s="99">
        <f>IF(LEFT($A$52,5)="blank",0,VLOOKUP($B$2,'Input General'!#REF!,COLUMN(F48),FALSE)*'Input Global'!F$21)</f>
        <v>0</v>
      </c>
      <c r="G63" s="99">
        <f>IF(LEFT($A$52,5)="blank",0,VLOOKUP($B$2,'Input General'!#REF!,COLUMN(G48),FALSE)*'Input Global'!G$21)</f>
        <v>0</v>
      </c>
      <c r="H63" s="99">
        <f>IF(LEFT($A$52,5)="blank",0,VLOOKUP($B$2,'Input General'!#REF!,COLUMN(H48),FALSE)*'Input Global'!H$21)</f>
        <v>0</v>
      </c>
    </row>
    <row r="64" spans="1:8" hidden="1" x14ac:dyDescent="0.3">
      <c r="A64" s="19" t="str">
        <f t="shared" si="5"/>
        <v>Energy Savings</v>
      </c>
      <c r="B64" s="17" t="s">
        <v>37</v>
      </c>
      <c r="C64" s="17" t="s">
        <v>57</v>
      </c>
      <c r="D64" s="99">
        <f>IF(LEFT($A$52,5)="blank",0,VLOOKUP($B$2,'Input General'!#REF!,COLUMN(D64),FALSE)*'Input Global'!D$21)</f>
        <v>0</v>
      </c>
      <c r="E64" s="99">
        <f>IF(LEFT($A$52,5)="blank",0,VLOOKUP($B$2,'Input General'!#REF!,COLUMN(E64),FALSE)*'Input Global'!E$21)</f>
        <v>0</v>
      </c>
      <c r="F64" s="99">
        <f>IF(LEFT($A$52,5)="blank",0,VLOOKUP($B$2,'Input General'!#REF!,COLUMN(F64),FALSE)*'Input Global'!F$21)</f>
        <v>0</v>
      </c>
      <c r="G64" s="99">
        <f>IF(LEFT($A$52,5)="blank",0,VLOOKUP($B$2,'Input General'!#REF!,COLUMN(G64),FALSE)*'Input Global'!G$21)</f>
        <v>0</v>
      </c>
      <c r="H64" s="99">
        <f>IF(LEFT($A$52,5)="blank",0,VLOOKUP($B$2,'Input General'!#REF!,COLUMN(H64),FALSE)*'Input Global'!H$21)</f>
        <v>0</v>
      </c>
    </row>
    <row r="65" spans="1:8" hidden="1" x14ac:dyDescent="0.3">
      <c r="A65" s="20" t="s">
        <v>55</v>
      </c>
      <c r="B65" s="20" t="s">
        <v>37</v>
      </c>
      <c r="C65" s="20" t="s">
        <v>57</v>
      </c>
      <c r="D65" s="99">
        <f>SUM(D53:D64)</f>
        <v>0</v>
      </c>
      <c r="E65" s="99">
        <f t="shared" ref="E65:H65" si="6">SUM(E53:E64)</f>
        <v>0</v>
      </c>
      <c r="F65" s="99">
        <f t="shared" si="6"/>
        <v>0</v>
      </c>
      <c r="G65" s="99">
        <f t="shared" si="6"/>
        <v>0</v>
      </c>
      <c r="H65" s="99">
        <f t="shared" si="6"/>
        <v>0</v>
      </c>
    </row>
    <row r="66" spans="1:8" hidden="1" x14ac:dyDescent="0.3">
      <c r="A66" s="120"/>
      <c r="B66" s="120"/>
      <c r="C66" s="120"/>
      <c r="D66" s="121"/>
      <c r="E66" s="121"/>
      <c r="F66" s="121"/>
      <c r="G66" s="121"/>
      <c r="H66" s="121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37</v>
      </c>
      <c r="C68" s="17" t="s">
        <v>57</v>
      </c>
      <c r="D68" s="99">
        <f>IF(LEFT($A$67,5)="blank",0,VLOOKUP($B$2,dist5wholesale,COLUMN(D68),FALSE)*'Input Global'!D22)</f>
        <v>0</v>
      </c>
      <c r="E68" s="99">
        <f>IF(LEFT($A$67,5)="blank",0,VLOOKUP($B$2,dist5wholesale,COLUMN(E68),FALSE)*'Input Global'!E22)</f>
        <v>0</v>
      </c>
      <c r="F68" s="99">
        <f>IF(LEFT($A$67,5)="blank",0,VLOOKUP($B$2,dist5wholesale,COLUMN(F68),FALSE)*'Input Global'!F22)</f>
        <v>0</v>
      </c>
      <c r="G68" s="99">
        <f>IF(LEFT($A$67,5)="blank",0,VLOOKUP($B$2,dist5wholesale,COLUMN(G68),FALSE)*'Input Global'!G22)</f>
        <v>0</v>
      </c>
      <c r="H68" s="99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37</v>
      </c>
      <c r="C69" s="17" t="s">
        <v>57</v>
      </c>
      <c r="D69" s="99">
        <f>IF(LEFT($A$67,5)="blank",0,'Input General'!#REF!+(SUMPRODUCT('Input General'!#REF!,'Input General'!#REF!)*'Input Global'!D$22))</f>
        <v>0</v>
      </c>
      <c r="E69" s="99">
        <f>IF(LEFT($A$67,5)="blank",0,'Input General'!#REF!+(SUMPRODUCT('Input General'!#REF!,'Input General'!#REF!)*'Input Global'!E$22))</f>
        <v>0</v>
      </c>
      <c r="F69" s="99">
        <f>IF(LEFT($A$67,5)="blank",0,'Input General'!#REF!+(SUMPRODUCT('Input General'!#REF!,'Input General'!#REF!)*'Input Global'!F$22))</f>
        <v>0</v>
      </c>
      <c r="G69" s="99">
        <f>IF(LEFT($A$67,5)="blank",0,'Input General'!#REF!+(SUMPRODUCT('Input General'!#REF!,'Input General'!#REF!)*'Input Global'!G$22))</f>
        <v>0</v>
      </c>
      <c r="H69" s="99">
        <f>IF(LEFT($A$67,5)="blank",0,'Input General'!#REF!+(SUMPRODUCT('Input General'!#REF!,'Input General'!#REF!)*'Input Global'!H$22))</f>
        <v>0</v>
      </c>
    </row>
    <row r="70" spans="1:8" hidden="1" x14ac:dyDescent="0.3">
      <c r="A70" s="17" t="str">
        <f t="shared" si="7"/>
        <v>Distribution</v>
      </c>
      <c r="B70" s="17" t="s">
        <v>37</v>
      </c>
      <c r="C70" s="17" t="s">
        <v>57</v>
      </c>
      <c r="D70" s="99">
        <f>IF(LEFT($A$67,5)="blank",0,'Input General'!#REF!+SUMPRODUCT('Input General'!#REF!,'Input General'!#REF!)*'Input Global'!D$22+'Input General'!#REF!)</f>
        <v>0</v>
      </c>
      <c r="E70" s="99">
        <f>IF(LEFT($A$67,5)="blank",0,'Input General'!#REF!+SUMPRODUCT('Input General'!#REF!,'Input General'!#REF!)*'Input Global'!E$22+'Input General'!#REF!)</f>
        <v>0</v>
      </c>
      <c r="F70" s="99">
        <f>IF(LEFT($A$67,5)="blank",0,'Input General'!#REF!+SUMPRODUCT('Input General'!#REF!,'Input General'!#REF!)*'Input Global'!F$22+'Input General'!#REF!)</f>
        <v>0</v>
      </c>
      <c r="G70" s="99">
        <f>IF(LEFT($A$67,5)="blank",0,'Input General'!#REF!+SUMPRODUCT('Input General'!#REF!,'Input General'!#REF!)*'Input Global'!G$22+'Input General'!#REF!)</f>
        <v>0</v>
      </c>
      <c r="H70" s="99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s="17" t="str">
        <f t="shared" si="7"/>
        <v>Retail</v>
      </c>
      <c r="B71" s="17" t="s">
        <v>37</v>
      </c>
      <c r="C71" s="17" t="s">
        <v>57</v>
      </c>
      <c r="D71" s="99">
        <f>IF(LEFT($A$67,5)="blank",0,'Input General'!#REF!*'Input Global'!D$22)</f>
        <v>0</v>
      </c>
      <c r="E71" s="99">
        <f>IF(LEFT($A$67,5)="blank",0,'Input General'!#REF!*'Input Global'!E$22)</f>
        <v>0</v>
      </c>
      <c r="F71" s="99">
        <f>IF(LEFT($A$67,5)="blank",0,'Input General'!#REF!*'Input Global'!F$22)</f>
        <v>0</v>
      </c>
      <c r="G71" s="99">
        <f>IF(LEFT($A$67,5)="blank",0,'Input General'!#REF!*'Input Global'!G$22)</f>
        <v>0</v>
      </c>
      <c r="H71" s="99">
        <f>IF(LEFT($A$67,5)="blank",0,'Input General'!#REF!*'Input Global'!H$22)</f>
        <v>0</v>
      </c>
    </row>
    <row r="72" spans="1:8" hidden="1" x14ac:dyDescent="0.3">
      <c r="A72" s="17" t="str">
        <f t="shared" si="7"/>
        <v>Retail and Residual</v>
      </c>
      <c r="B72" s="17" t="s">
        <v>37</v>
      </c>
      <c r="C72" s="17" t="s">
        <v>57</v>
      </c>
      <c r="D72" s="99">
        <f>IF(LEFT($A$67,5)="blank",0,VLOOKUP($B$2,'Input General'!#REF!,COLUMN(D72),FALSE)*'Input Global'!D$37)</f>
        <v>0</v>
      </c>
      <c r="E72" s="99">
        <f>IF(LEFT($A$67,5)="blank",0,VLOOKUP($B$2,'Input General'!#REF!,COLUMN(E72),FALSE)*'Input Global'!E$37)</f>
        <v>0</v>
      </c>
      <c r="F72" s="99">
        <f>IF(LEFT($A$67,5)="blank",0,VLOOKUP($B$2,'Input General'!#REF!,COLUMN(F72),FALSE)*'Input Global'!F$37)</f>
        <v>0</v>
      </c>
      <c r="G72" s="99">
        <f>IF(LEFT($A$67,5)="blank",0,VLOOKUP($B$2,'Input General'!#REF!,COLUMN(G72),FALSE)*'Input Global'!G$37)</f>
        <v>0</v>
      </c>
      <c r="H72" s="99">
        <f>IF(LEFT($A$67,5)="blank",0,VLOOKUP($B$2,'Input General'!#REF!,COLUMN(H72),FALSE)*'Input Global'!H$37)</f>
        <v>0</v>
      </c>
    </row>
    <row r="73" spans="1:8" hidden="1" x14ac:dyDescent="0.3">
      <c r="A73" s="17" t="str">
        <f t="shared" si="7"/>
        <v>Green Schemes</v>
      </c>
      <c r="D73" s="95"/>
      <c r="E73" s="95"/>
      <c r="F73" s="95"/>
      <c r="G73" s="95"/>
      <c r="H73" s="95"/>
    </row>
    <row r="74" spans="1:8" hidden="1" x14ac:dyDescent="0.3">
      <c r="A74" s="19" t="str">
        <f t="shared" si="7"/>
        <v>Feed-in Tariffs</v>
      </c>
      <c r="B74" s="17" t="s">
        <v>37</v>
      </c>
      <c r="C74" s="17" t="s">
        <v>57</v>
      </c>
      <c r="D74" s="99">
        <f>IF(LEFT($A$67,5)="blank",0,'Input General'!#REF!+SUMPRODUCT('Input General'!#REF!,'Input General'!#REF!)*'Input Global'!D$22)</f>
        <v>0</v>
      </c>
      <c r="E74" s="99">
        <f>IF(LEFT($A$67,5)="blank",0,'Input General'!#REF!+SUMPRODUCT('Input General'!#REF!,'Input General'!#REF!)*'Input Global'!E$22)</f>
        <v>0</v>
      </c>
      <c r="F74" s="99">
        <f>IF(LEFT($A$67,5)="blank",0,'Input General'!#REF!+SUMPRODUCT('Input General'!#REF!,'Input General'!#REF!)*'Input Global'!F$22)</f>
        <v>0</v>
      </c>
      <c r="G74" s="99">
        <f>IF(LEFT($A$67,5)="blank",0,'Input General'!#REF!+SUMPRODUCT('Input General'!#REF!,'Input General'!#REF!)*'Input Global'!G$22)</f>
        <v>0</v>
      </c>
      <c r="H74" s="99">
        <f>IF(LEFT($A$67,5)="blank",0,'Input General'!#REF!+SUMPRODUCT('Input General'!#REF!,'Input General'!#REF!)*'Input Global'!H$22)</f>
        <v>0</v>
      </c>
    </row>
    <row r="75" spans="1:8" hidden="1" x14ac:dyDescent="0.3">
      <c r="A75" s="19" t="str">
        <f t="shared" si="7"/>
        <v>Carbon costs</v>
      </c>
      <c r="B75" s="17" t="s">
        <v>37</v>
      </c>
      <c r="C75" s="17" t="s">
        <v>57</v>
      </c>
      <c r="D75" s="99">
        <f>IF(LEFT($A$67,5)="blank",0,VLOOKUP($B$2,'Input General'!#REF!,COLUMN(D75),FALSE)*'Input Global'!D$22)</f>
        <v>0</v>
      </c>
      <c r="E75" s="99">
        <f>IF(LEFT($A$67,5)="blank",0,VLOOKUP($B$2,'Input General'!#REF!,COLUMN(E75),FALSE)*'Input Global'!E$22)</f>
        <v>0</v>
      </c>
      <c r="F75" s="99">
        <f>IF(LEFT($A$67,5)="blank",0,VLOOKUP($B$2,'Input General'!#REF!,COLUMN(F75),FALSE)*'Input Global'!F$22)</f>
        <v>0</v>
      </c>
      <c r="G75" s="99">
        <f>IF(LEFT($A$67,5)="blank",0,VLOOKUP($B$2,'Input General'!#REF!,COLUMN(G75),FALSE)*'Input Global'!G$22)</f>
        <v>0</v>
      </c>
      <c r="H75" s="99">
        <f>IF(LEFT($A$67,5)="blank",0,VLOOKUP($B$2,'Input General'!#REF!,COLUMN(H75),FALSE)*'Input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37</v>
      </c>
      <c r="C76" s="17" t="s">
        <v>57</v>
      </c>
      <c r="D76" s="99">
        <f>IF(LEFT($A$67,5)="blank",0,VLOOKUP($B$2,'Input General'!#REF!,COLUMN(D76),FALSE)*'Input Global'!D22)</f>
        <v>0</v>
      </c>
      <c r="E76" s="99">
        <f>IF(LEFT($A$67,5)="blank",0,VLOOKUP($B$2,'Input General'!#REF!,COLUMN(E76),FALSE)*'Input Global'!E22)</f>
        <v>0</v>
      </c>
      <c r="F76" s="99">
        <f>IF(LEFT($A$67,5)="blank",0,VLOOKUP($B$2,'Input General'!#REF!,COLUMN(F76),FALSE)*'Input Global'!F22)</f>
        <v>0</v>
      </c>
      <c r="G76" s="99">
        <f>IF(LEFT($A$67,5)="blank",0,VLOOKUP($B$2,'Input General'!#REF!,COLUMN(G76),FALSE)*'Input Global'!G22)</f>
        <v>0</v>
      </c>
      <c r="H76" s="99">
        <f>IF(LEFT($A$67,5)="blank",0,VLOOKUP($B$2,'Input General'!#REF!,COLUMN(H76),FALSE)*'Input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37</v>
      </c>
      <c r="C77" s="17" t="s">
        <v>57</v>
      </c>
      <c r="D77" s="99">
        <f>IF(LEFT($A$67,5)="blank",0,'Input General'!#REF!*'Input Global'!D$22)</f>
        <v>0</v>
      </c>
      <c r="E77" s="99">
        <f>IF(LEFT($A$67,5)="blank",0,'Input General'!#REF!*'Input Global'!E$22)</f>
        <v>0</v>
      </c>
      <c r="F77" s="99">
        <f>IF(LEFT($A$67,5)="blank",0,'Input General'!#REF!*'Input Global'!F$22)</f>
        <v>0</v>
      </c>
      <c r="G77" s="99">
        <f>IF(LEFT($A$67,5)="blank",0,'Input General'!#REF!*'Input Global'!G$22)</f>
        <v>0</v>
      </c>
      <c r="H77" s="99">
        <f>IF(LEFT($A$67,5)="blank",0,'Input General'!#REF!*'Input Global'!H$22)</f>
        <v>0</v>
      </c>
    </row>
    <row r="78" spans="1:8" hidden="1" x14ac:dyDescent="0.3">
      <c r="A78" s="19" t="str">
        <f t="shared" si="7"/>
        <v>Greenhouse gas abatement scheme</v>
      </c>
      <c r="B78" s="17" t="s">
        <v>37</v>
      </c>
      <c r="C78" s="17" t="s">
        <v>57</v>
      </c>
      <c r="D78" s="99">
        <f>IF(LEFT($A$67,5)="blank",0,VLOOKUP($B$2,'Input General'!#REF!,COLUMN(D78),FALSE)*'Input Global'!D$22)</f>
        <v>0</v>
      </c>
      <c r="E78" s="99">
        <f>IF(LEFT($A$67,5)="blank",0,VLOOKUP($B$2,'Input General'!#REF!,COLUMN(E78),FALSE)*'Input Global'!E$22)</f>
        <v>0</v>
      </c>
      <c r="F78" s="99">
        <f>IF(LEFT($A$67,5)="blank",0,VLOOKUP($B$2,'Input General'!#REF!,COLUMN(F78),FALSE)*'Input Global'!F$22)</f>
        <v>0</v>
      </c>
      <c r="G78" s="99">
        <f>IF(LEFT($A$67,5)="blank",0,VLOOKUP($B$2,'Input General'!#REF!,COLUMN(G78),FALSE)*'Input Global'!G$22)</f>
        <v>0</v>
      </c>
      <c r="H78" s="99">
        <f>IF(LEFT($A$67,5)="blank",0,VLOOKUP($B$2,'Input General'!#REF!,COLUMN(H78),FALSE)*'Input Global'!H$22)</f>
        <v>0</v>
      </c>
    </row>
    <row r="79" spans="1:8" hidden="1" x14ac:dyDescent="0.3">
      <c r="A79" s="19" t="str">
        <f t="shared" si="7"/>
        <v>Energy Savings</v>
      </c>
      <c r="B79" s="17" t="s">
        <v>37</v>
      </c>
      <c r="C79" s="17" t="s">
        <v>57</v>
      </c>
      <c r="D79" s="99">
        <f>IF(LEFT($A$67,5)="blank",0,VLOOKUP($B$2,'Input General'!#REF!,COLUMN(D79),FALSE)*'Input Global'!D$22)</f>
        <v>0</v>
      </c>
      <c r="E79" s="99">
        <f>IF(LEFT($A$67,5)="blank",0,VLOOKUP($B$2,'Input General'!#REF!,COLUMN(E79),FALSE)*'Input Global'!E$22)</f>
        <v>0</v>
      </c>
      <c r="F79" s="99">
        <f>IF(LEFT($A$67,5)="blank",0,VLOOKUP($B$2,'Input General'!#REF!,COLUMN(F79),FALSE)*'Input Global'!F$22)</f>
        <v>0</v>
      </c>
      <c r="G79" s="99">
        <f>IF(LEFT($A$67,5)="blank",0,VLOOKUP($B$2,'Input General'!#REF!,COLUMN(G79),FALSE)*'Input Global'!G$22)</f>
        <v>0</v>
      </c>
      <c r="H79" s="99">
        <f>IF(LEFT($A$67,5)="blank",0,VLOOKUP($B$2,'Input General'!#REF!,COLUMN(H79),FALSE)*'Input Global'!H$22)</f>
        <v>0</v>
      </c>
    </row>
    <row r="80" spans="1:8" hidden="1" x14ac:dyDescent="0.3">
      <c r="A80" s="20" t="s">
        <v>55</v>
      </c>
      <c r="B80" s="20" t="s">
        <v>37</v>
      </c>
      <c r="C80" s="20" t="s">
        <v>57</v>
      </c>
      <c r="D80" s="99">
        <f>SUM(D68:D79)</f>
        <v>0</v>
      </c>
      <c r="E80" s="99">
        <f t="shared" ref="E80:H80" si="8">SUM(E68:E79)</f>
        <v>0</v>
      </c>
      <c r="F80" s="99">
        <f t="shared" si="8"/>
        <v>0</v>
      </c>
      <c r="G80" s="99">
        <f t="shared" si="8"/>
        <v>0</v>
      </c>
      <c r="H80" s="99">
        <f t="shared" si="8"/>
        <v>0</v>
      </c>
    </row>
    <row r="81" spans="1:8" x14ac:dyDescent="0.3">
      <c r="A81" s="120"/>
      <c r="B81" s="120"/>
      <c r="C81" s="120"/>
      <c r="D81" s="121"/>
      <c r="E81" s="121"/>
      <c r="F81" s="121"/>
      <c r="G81" s="121"/>
      <c r="H81" s="121"/>
    </row>
    <row r="82" spans="1:8" ht="18.75" x14ac:dyDescent="0.3">
      <c r="A82" s="16" t="s">
        <v>56</v>
      </c>
      <c r="B82" s="16" t="s">
        <v>42</v>
      </c>
      <c r="D82" s="95"/>
      <c r="E82" s="95"/>
      <c r="F82" s="95"/>
      <c r="G82" s="95"/>
      <c r="H82" s="95"/>
    </row>
    <row r="84" spans="1:8" x14ac:dyDescent="0.3">
      <c r="A84" s="18" t="str">
        <f>Dist1</f>
        <v>ActewAGL</v>
      </c>
    </row>
    <row r="85" spans="1:8" x14ac:dyDescent="0.3">
      <c r="A85" s="17" t="str">
        <f>A68</f>
        <v>Wholesale</v>
      </c>
      <c r="B85" s="17" t="s">
        <v>37</v>
      </c>
      <c r="C85" s="17" t="s">
        <v>11</v>
      </c>
      <c r="D85" s="99">
        <f ca="1">IF(LEFT($A$84,5)="blank",0,D8/'Input Global'!D$18)</f>
        <v>6.3952207999999997</v>
      </c>
      <c r="E85" s="99">
        <f ca="1">IF(LEFT($A$84,5)="blank",0,E8/'Input Global'!E$18)</f>
        <v>5.9533839999999998</v>
      </c>
      <c r="F85" s="99">
        <f ca="1">IF(LEFT($A$84,5)="blank",0,F8/'Input Global'!F$18)</f>
        <v>5.4239500000000005</v>
      </c>
      <c r="G85" s="99">
        <f ca="1">IF(LEFT($A$84,5)="blank",0,G8/'Input Global'!G$18)</f>
        <v>4.9610397894784617</v>
      </c>
      <c r="H85" s="99">
        <f ca="1">IF(LEFT($A$84,5)="blank",0,H8/'Input Global'!H$18)</f>
        <v>5.1594708915029406</v>
      </c>
    </row>
    <row r="86" spans="1:8" x14ac:dyDescent="0.3">
      <c r="A86" s="17" t="str">
        <f t="shared" ref="A86:A96" si="9">A69</f>
        <v>Transmission</v>
      </c>
      <c r="B86" s="17" t="s">
        <v>37</v>
      </c>
      <c r="C86" s="17" t="s">
        <v>11</v>
      </c>
      <c r="D86" s="99">
        <f>IF(LEFT($A$84,5)="blank",0,D9/'Input Global'!D$18)</f>
        <v>1.149</v>
      </c>
      <c r="E86" s="99">
        <f>IF(LEFT($A$84,5)="blank",0,E9/'Input Global'!E$18)</f>
        <v>1.377</v>
      </c>
      <c r="F86" s="99">
        <f>IF(LEFT($A$84,5)="blank",0,F9/'Input Global'!F$18)</f>
        <v>1.653</v>
      </c>
      <c r="G86" s="99">
        <f>IF(LEFT($A$84,5)="blank",0,G9/'Input Global'!G$18)</f>
        <v>1.7681587277667981</v>
      </c>
      <c r="H86" s="99">
        <f>IF(LEFT($A$84,5)="blank",0,H9/'Input Global'!H$18)</f>
        <v>1.8913401612691485</v>
      </c>
    </row>
    <row r="87" spans="1:8" x14ac:dyDescent="0.3">
      <c r="A87" s="17" t="str">
        <f t="shared" si="9"/>
        <v>Distribution</v>
      </c>
      <c r="B87" s="17" t="s">
        <v>37</v>
      </c>
      <c r="C87" s="17" t="s">
        <v>11</v>
      </c>
      <c r="D87" s="99">
        <f>IF(LEFT($A$84,5)="blank",0,D10/'Input Global'!D$18)</f>
        <v>5.9003624325649824</v>
      </c>
      <c r="E87" s="99">
        <f>IF(LEFT($A$84,5)="blank",0,E10/'Input Global'!E$18)</f>
        <v>5.8543412017953766</v>
      </c>
      <c r="F87" s="99">
        <f>IF(LEFT($A$84,5)="blank",0,F10/'Input Global'!F$18)</f>
        <v>6.1015645288266089</v>
      </c>
      <c r="G87" s="99">
        <f>IF(LEFT($A$84,5)="blank",0,G10/'Input Global'!G$18)</f>
        <v>6.5133271027211919</v>
      </c>
      <c r="H87" s="99">
        <f>IF(LEFT($A$84,5)="blank",0,H10/'Input Global'!H$18)</f>
        <v>7.0049070260268023</v>
      </c>
    </row>
    <row r="88" spans="1:8" x14ac:dyDescent="0.3">
      <c r="A88" s="17" t="str">
        <f t="shared" si="9"/>
        <v>Retail</v>
      </c>
      <c r="B88" s="17" t="s">
        <v>37</v>
      </c>
      <c r="C88" s="17" t="s">
        <v>11</v>
      </c>
      <c r="D88" s="99">
        <f>IF(LEFT($A$84,5)="blank",0,D11/'Input Global'!D$18)</f>
        <v>1.056</v>
      </c>
      <c r="E88" s="99">
        <f>IF(LEFT($A$84,5)="blank",0,E11/'Input Global'!E$18)</f>
        <v>1.0860000000000001</v>
      </c>
      <c r="F88" s="99">
        <f>IF(LEFT($A$84,5)="blank",0,F11/'Input Global'!F$18)</f>
        <v>1.1131499999999999</v>
      </c>
      <c r="G88" s="99">
        <f>IF(LEFT($A$84,5)="blank",0,G11/'Input Global'!G$18)</f>
        <v>1.1409787499999997</v>
      </c>
      <c r="H88" s="99">
        <f>IF(LEFT($A$84,5)="blank",0,H11/'Input Global'!H$18)</f>
        <v>1.1695032187499996</v>
      </c>
    </row>
    <row r="89" spans="1:8" x14ac:dyDescent="0.3">
      <c r="A89" s="17" t="str">
        <f t="shared" si="9"/>
        <v>Retail and Residual</v>
      </c>
      <c r="B89" s="17" t="s">
        <v>37</v>
      </c>
      <c r="C89" s="17" t="s">
        <v>11</v>
      </c>
      <c r="D89" s="99">
        <f ca="1">IF(LEFT($A$84,5)="blank",0,D12/'Input Global'!D$18)</f>
        <v>0.81651149455850902</v>
      </c>
      <c r="E89" s="99">
        <f ca="1">IF(LEFT($A$84,5)="blank",0,E12/'Input Global'!E$18)</f>
        <v>0.86559191353800879</v>
      </c>
      <c r="F89" s="99">
        <f ca="1">IF(LEFT($A$84,5)="blank",0,F12/'Input Global'!F$18)</f>
        <v>0.97658452849435995</v>
      </c>
      <c r="G89" s="99">
        <f ca="1">IF(LEFT($A$84,5)="blank",0,G12/'Input Global'!G$18)</f>
        <v>0.99042853887427684</v>
      </c>
      <c r="H89" s="99">
        <f ca="1">IF(LEFT($A$84,5)="blank",0,H12/'Input Global'!H$18)</f>
        <v>1.0363354868673826</v>
      </c>
    </row>
    <row r="90" spans="1:8" x14ac:dyDescent="0.3">
      <c r="A90" s="17" t="str">
        <f t="shared" si="9"/>
        <v>Green Schemes</v>
      </c>
      <c r="C90" s="17" t="s">
        <v>11</v>
      </c>
      <c r="D90" s="95"/>
      <c r="E90" s="95"/>
      <c r="F90" s="95"/>
      <c r="G90" s="95"/>
      <c r="H90" s="95"/>
    </row>
    <row r="91" spans="1:8" x14ac:dyDescent="0.3">
      <c r="A91" s="19" t="str">
        <f t="shared" si="9"/>
        <v>Feed-in Tariffs</v>
      </c>
      <c r="B91" s="17" t="s">
        <v>37</v>
      </c>
      <c r="C91" s="17" t="s">
        <v>11</v>
      </c>
      <c r="D91" s="99">
        <f>IF(LEFT($A$84,5)="blank",0,D14/'Input Global'!D$18)</f>
        <v>0</v>
      </c>
      <c r="E91" s="99">
        <f>IF(LEFT($A$84,5)="blank",0,E14/'Input Global'!E$18)</f>
        <v>0.33175467853812057</v>
      </c>
      <c r="F91" s="99">
        <f>IF(LEFT($A$84,5)="blank",0,F14/'Input Global'!F$18)</f>
        <v>0.4122341469948716</v>
      </c>
      <c r="G91" s="99">
        <f>IF(LEFT($A$84,5)="blank",0,G14/'Input Global'!G$18)</f>
        <v>0.49288049723650695</v>
      </c>
      <c r="H91" s="99">
        <f>IF(LEFT($A$84,5)="blank",0,H14/'Input Global'!H$18)</f>
        <v>0.53253396544042708</v>
      </c>
    </row>
    <row r="92" spans="1:8" x14ac:dyDescent="0.3">
      <c r="A92" s="19" t="str">
        <f t="shared" si="9"/>
        <v>Carbon costs</v>
      </c>
      <c r="B92" s="17" t="s">
        <v>37</v>
      </c>
      <c r="C92" s="17" t="s">
        <v>11</v>
      </c>
      <c r="D92" s="99">
        <f ca="1">IF(LEFT($A$84,5)="blank",0,D15/'Input Global'!D$18)</f>
        <v>0</v>
      </c>
      <c r="E92" s="99">
        <f ca="1">IF(LEFT($A$84,5)="blank",0,E15/'Input Global'!E$18)</f>
        <v>0</v>
      </c>
      <c r="F92" s="99">
        <f ca="1">IF(LEFT($A$84,5)="blank",0,F15/'Input Global'!F$18)</f>
        <v>2.1179999999999999</v>
      </c>
      <c r="G92" s="99">
        <f ca="1">IF(LEFT($A$84,5)="blank",0,G15/'Input Global'!G$18)</f>
        <v>2.3756274961163113</v>
      </c>
      <c r="H92" s="99">
        <f ca="1">IF(LEFT($A$84,5)="blank",0,H15/'Input Global'!H$18)</f>
        <v>2.2742035749762217</v>
      </c>
    </row>
    <row r="93" spans="1:8" x14ac:dyDescent="0.3">
      <c r="A93" s="19" t="str">
        <f t="shared" si="9"/>
        <v>Large Scale Renewable Energy Target</v>
      </c>
      <c r="B93" s="17" t="s">
        <v>37</v>
      </c>
      <c r="C93" s="17" t="s">
        <v>11</v>
      </c>
      <c r="D93" s="99">
        <f ca="1">IF(LEFT($A$84,5)="blank",0,D16/'Input Global'!D$18)</f>
        <v>0.19463509991311903</v>
      </c>
      <c r="E93" s="99">
        <f ca="1">IF(LEFT($A$84,5)="blank",0,E16/'Input Global'!E$18)</f>
        <v>0.49660295395308429</v>
      </c>
      <c r="F93" s="99">
        <f ca="1">IF(LEFT($A$84,5)="blank",0,F16/'Input Global'!F$18)</f>
        <v>0.43499999999999994</v>
      </c>
      <c r="G93" s="99">
        <f ca="1">IF(LEFT($A$84,5)="blank",0,G16/'Input Global'!G$18)</f>
        <v>0.46612709452899753</v>
      </c>
      <c r="H93" s="99">
        <f ca="1">IF(LEFT($A$84,5)="blank",0,H16/'Input Global'!H$18)</f>
        <v>0.49360834598285647</v>
      </c>
    </row>
    <row r="94" spans="1:8" x14ac:dyDescent="0.3">
      <c r="A94" s="19" t="str">
        <f t="shared" si="9"/>
        <v>Small Scale Renewable Energy Scheme</v>
      </c>
      <c r="B94" s="17" t="s">
        <v>37</v>
      </c>
      <c r="C94" s="17" t="s">
        <v>11</v>
      </c>
      <c r="D94" s="99">
        <f ca="1">IF(LEFT($A$84,5)="blank",0,D17/'Input Global'!D$18)</f>
        <v>0.32036490008688107</v>
      </c>
      <c r="E94" s="99">
        <f ca="1">IF(LEFT($A$84,5)="blank",0,E17/'Input Global'!E$18)</f>
        <v>0.81739704604691588</v>
      </c>
      <c r="F94" s="99">
        <f ca="1">IF(LEFT($A$84,5)="blank",0,F17/'Input Global'!F$18)</f>
        <v>0.71599999999999997</v>
      </c>
      <c r="G94" s="99">
        <f ca="1">IF(LEFT($A$84,5)="blank",0,G17/'Input Global'!G$18)</f>
        <v>0.31512978056426327</v>
      </c>
      <c r="H94" s="99">
        <f ca="1">IF(LEFT($A$84,5)="blank",0,H17/'Input Global'!H$18)</f>
        <v>0.27383072100313477</v>
      </c>
    </row>
    <row r="95" spans="1:8" x14ac:dyDescent="0.3">
      <c r="A95" s="19" t="str">
        <f t="shared" si="9"/>
        <v>Greenhouse gas abatement scheme</v>
      </c>
      <c r="B95" s="17" t="s">
        <v>37</v>
      </c>
      <c r="C95" s="17" t="s">
        <v>11</v>
      </c>
      <c r="D95" s="99">
        <f ca="1">IF(LEFT($A$84,5)="blank",0,D18/'Input Global'!D$18)</f>
        <v>0.105</v>
      </c>
      <c r="E95" s="99">
        <f ca="1">IF(LEFT($A$84,5)="blank",0,E18/'Input Global'!E$18)</f>
        <v>0.11299999999999999</v>
      </c>
      <c r="F95" s="99">
        <f ca="1">IF(LEFT($A$84,5)="blank",0,F18/'Input Global'!F$18)</f>
        <v>0</v>
      </c>
      <c r="G95" s="99">
        <f ca="1">IF(LEFT($A$84,5)="blank",0,G18/'Input Global'!G$18)</f>
        <v>0</v>
      </c>
      <c r="H95" s="99">
        <f ca="1">IF(LEFT($A$84,5)="blank",0,H18/'Input Global'!H$18)</f>
        <v>0</v>
      </c>
    </row>
    <row r="96" spans="1:8" x14ac:dyDescent="0.3">
      <c r="A96" s="19" t="str">
        <f t="shared" si="9"/>
        <v>Energy Savings</v>
      </c>
      <c r="B96" s="17" t="s">
        <v>37</v>
      </c>
      <c r="C96" s="17" t="s">
        <v>11</v>
      </c>
      <c r="D96" s="99">
        <f ca="1">IF(LEFT($A$84,5)="blank",0,D19/'Input Global'!D$18)</f>
        <v>0</v>
      </c>
      <c r="E96" s="99">
        <f ca="1">IF(LEFT($A$84,5)="blank",0,E19/'Input Global'!E$18)</f>
        <v>0</v>
      </c>
      <c r="F96" s="99">
        <f ca="1">IF(LEFT($A$84,5)="blank",0,F19/'Input Global'!F$18)</f>
        <v>0.11200000000000002</v>
      </c>
      <c r="G96" s="99">
        <f ca="1">IF(LEFT($A$84,5)="blank",0,G19/'Input Global'!G$18)</f>
        <v>0.308</v>
      </c>
      <c r="H96" s="99">
        <f ca="1">IF(LEFT($A$84,5)="blank",0,H19/'Input Global'!H$18)</f>
        <v>0.39200000000000007</v>
      </c>
    </row>
    <row r="97" spans="1:8" x14ac:dyDescent="0.3">
      <c r="A97" s="20" t="s">
        <v>55</v>
      </c>
      <c r="B97" s="20" t="s">
        <v>37</v>
      </c>
      <c r="C97" s="20" t="s">
        <v>11</v>
      </c>
      <c r="D97" s="99">
        <f ca="1">SUM(D85:D96)</f>
        <v>15.93709472712349</v>
      </c>
      <c r="E97" s="99">
        <f t="shared" ref="E97:H97" ca="1" si="10">SUM(E85:E96)</f>
        <v>16.895071793871505</v>
      </c>
      <c r="F97" s="99">
        <f t="shared" ca="1" si="10"/>
        <v>19.061483204315838</v>
      </c>
      <c r="G97" s="99">
        <f t="shared" ca="1" si="10"/>
        <v>19.331697777286806</v>
      </c>
      <c r="H97" s="99">
        <f t="shared" ca="1" si="10"/>
        <v>20.227733391818912</v>
      </c>
    </row>
    <row r="98" spans="1:8" hidden="1" x14ac:dyDescent="0.3">
      <c r="A98" s="120"/>
      <c r="B98" s="120"/>
      <c r="C98" s="120"/>
      <c r="D98" s="121"/>
      <c r="E98" s="121"/>
      <c r="F98" s="121"/>
      <c r="G98" s="121"/>
      <c r="H98" s="121"/>
    </row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B100" s="17" t="s">
        <v>37</v>
      </c>
      <c r="C100" s="17" t="s">
        <v>11</v>
      </c>
      <c r="D100" s="99">
        <f>IF(LEFT($A$99,5)="blank",0,D23/'Input Global'!D$19)</f>
        <v>0</v>
      </c>
      <c r="E100" s="99">
        <f>IF(LEFT($A$99,5)="blank",0,E23/'Input Global'!E$19)</f>
        <v>0</v>
      </c>
      <c r="F100" s="99">
        <f>IF(LEFT($A$99,5)="blank",0,F23/'Input Global'!F$19)</f>
        <v>0</v>
      </c>
      <c r="G100" s="99">
        <f>IF(LEFT($A$99,5)="blank",0,G23/'Input Global'!G$19)</f>
        <v>0</v>
      </c>
      <c r="H100" s="99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B101" s="17" t="s">
        <v>37</v>
      </c>
      <c r="C101" s="17" t="s">
        <v>11</v>
      </c>
      <c r="D101" s="99">
        <f>IF(LEFT($A$99,5)="blank",0,D24/'Input Global'!D$19)</f>
        <v>0</v>
      </c>
      <c r="E101" s="99">
        <f>IF(LEFT($A$99,5)="blank",0,E24/'Input Global'!E$19)</f>
        <v>0</v>
      </c>
      <c r="F101" s="99">
        <f>IF(LEFT($A$99,5)="blank",0,F24/'Input Global'!F$19)</f>
        <v>0</v>
      </c>
      <c r="G101" s="99">
        <f>IF(LEFT($A$99,5)="blank",0,G24/'Input Global'!G$19)</f>
        <v>0</v>
      </c>
      <c r="H101" s="99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B102" s="17" t="s">
        <v>37</v>
      </c>
      <c r="C102" s="17" t="s">
        <v>11</v>
      </c>
      <c r="D102" s="99">
        <f>IF(LEFT($A$99,5)="blank",0,D25/'Input Global'!D$19)</f>
        <v>0</v>
      </c>
      <c r="E102" s="99">
        <f>IF(LEFT($A$99,5)="blank",0,E25/'Input Global'!E$19)</f>
        <v>0</v>
      </c>
      <c r="F102" s="99">
        <f>IF(LEFT($A$99,5)="blank",0,F25/'Input Global'!F$19)</f>
        <v>0</v>
      </c>
      <c r="G102" s="99">
        <f>IF(LEFT($A$99,5)="blank",0,G25/'Input Global'!G$19)</f>
        <v>0</v>
      </c>
      <c r="H102" s="99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B103" s="17" t="s">
        <v>37</v>
      </c>
      <c r="C103" s="17" t="s">
        <v>11</v>
      </c>
      <c r="D103" s="99">
        <f>IF(LEFT($A$99,5)="blank",0,D26/'Input Global'!D$19)</f>
        <v>0</v>
      </c>
      <c r="E103" s="99">
        <f>IF(LEFT($A$99,5)="blank",0,E26/'Input Global'!E$19)</f>
        <v>0</v>
      </c>
      <c r="F103" s="99">
        <f>IF(LEFT($A$99,5)="blank",0,F26/'Input Global'!F$19)</f>
        <v>0</v>
      </c>
      <c r="G103" s="99">
        <f>IF(LEFT($A$99,5)="blank",0,G26/'Input Global'!G$19)</f>
        <v>0</v>
      </c>
      <c r="H103" s="99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B104" s="17" t="s">
        <v>37</v>
      </c>
      <c r="C104" s="17" t="s">
        <v>11</v>
      </c>
      <c r="D104" s="99">
        <f>IF(LEFT($A$99,5)="blank",0,D27/'Input Global'!D$19)</f>
        <v>0</v>
      </c>
      <c r="E104" s="99">
        <f>IF(LEFT($A$99,5)="blank",0,E27/'Input Global'!E$19)</f>
        <v>0</v>
      </c>
      <c r="F104" s="99">
        <f>IF(LEFT($A$99,5)="blank",0,F27/'Input Global'!F$19)</f>
        <v>0</v>
      </c>
      <c r="G104" s="99">
        <f>IF(LEFT($A$99,5)="blank",0,G27/'Input Global'!G$19)</f>
        <v>0</v>
      </c>
      <c r="H104" s="99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11</v>
      </c>
      <c r="D105" s="95"/>
      <c r="E105" s="95"/>
      <c r="F105" s="95"/>
      <c r="G105" s="95"/>
      <c r="H105" s="95"/>
    </row>
    <row r="106" spans="1:8" hidden="1" x14ac:dyDescent="0.3">
      <c r="A106" s="19" t="str">
        <f t="shared" si="11"/>
        <v>Feed-in Tariffs</v>
      </c>
      <c r="B106" s="17" t="s">
        <v>37</v>
      </c>
      <c r="C106" s="17" t="s">
        <v>11</v>
      </c>
      <c r="D106" s="99">
        <f>IF(LEFT($A$99,5)="blank",0,D29/'Input Global'!D$19)</f>
        <v>0</v>
      </c>
      <c r="E106" s="99">
        <f>IF(LEFT($A$99,5)="blank",0,E29/'Input Global'!E$19)</f>
        <v>0</v>
      </c>
      <c r="F106" s="99">
        <f>IF(LEFT($A$99,5)="blank",0,F29/'Input Global'!F$19)</f>
        <v>0</v>
      </c>
      <c r="G106" s="99">
        <f>IF(LEFT($A$99,5)="blank",0,G29/'Input Global'!G$19)</f>
        <v>0</v>
      </c>
      <c r="H106" s="99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B107" s="17" t="s">
        <v>37</v>
      </c>
      <c r="C107" s="17" t="s">
        <v>11</v>
      </c>
      <c r="D107" s="99">
        <f>IF(LEFT($A$99,5)="blank",0,D30/'Input Global'!D$19)</f>
        <v>0</v>
      </c>
      <c r="E107" s="99">
        <f>IF(LEFT($A$99,5)="blank",0,E30/'Input Global'!E$19)</f>
        <v>0</v>
      </c>
      <c r="F107" s="99">
        <f>IF(LEFT($A$99,5)="blank",0,F30/'Input Global'!F$19)</f>
        <v>0</v>
      </c>
      <c r="G107" s="99">
        <f>IF(LEFT($A$99,5)="blank",0,G30/'Input Global'!G$19)</f>
        <v>0</v>
      </c>
      <c r="H107" s="99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B108" s="17" t="s">
        <v>37</v>
      </c>
      <c r="C108" s="17" t="s">
        <v>11</v>
      </c>
      <c r="D108" s="99">
        <f>IF(LEFT($A$99,5)="blank",0,D31/'Input Global'!D$19)</f>
        <v>0</v>
      </c>
      <c r="E108" s="99">
        <f>IF(LEFT($A$99,5)="blank",0,E31/'Input Global'!E$19)</f>
        <v>0</v>
      </c>
      <c r="F108" s="99">
        <f>IF(LEFT($A$99,5)="blank",0,F31/'Input Global'!F$19)</f>
        <v>0</v>
      </c>
      <c r="G108" s="99">
        <f>IF(LEFT($A$99,5)="blank",0,G31/'Input Global'!G$19)</f>
        <v>0</v>
      </c>
      <c r="H108" s="99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B109" s="17" t="s">
        <v>37</v>
      </c>
      <c r="C109" s="17" t="s">
        <v>11</v>
      </c>
      <c r="D109" s="99">
        <f>IF(LEFT($A$99,5)="blank",0,D32/'Input Global'!D$19)</f>
        <v>0</v>
      </c>
      <c r="E109" s="99">
        <f>IF(LEFT($A$99,5)="blank",0,E32/'Input Global'!E$19)</f>
        <v>0</v>
      </c>
      <c r="F109" s="99">
        <f>IF(LEFT($A$99,5)="blank",0,F32/'Input Global'!F$19)</f>
        <v>0</v>
      </c>
      <c r="G109" s="99">
        <f>IF(LEFT($A$99,5)="blank",0,G32/'Input Global'!G$19)</f>
        <v>0</v>
      </c>
      <c r="H109" s="99">
        <f>IF(LEFT($A$99,5)="blank",0,H32/'Input Global'!H$19)</f>
        <v>0</v>
      </c>
    </row>
    <row r="110" spans="1:8" hidden="1" x14ac:dyDescent="0.3">
      <c r="A110" s="19" t="str">
        <f t="shared" si="11"/>
        <v>Greenhouse gas abatement scheme</v>
      </c>
      <c r="B110" s="17" t="s">
        <v>37</v>
      </c>
      <c r="C110" s="17" t="s">
        <v>11</v>
      </c>
      <c r="D110" s="99">
        <f>IF(LEFT($A$99,5)="blank",0,D33/'Input Global'!D$19)</f>
        <v>0</v>
      </c>
      <c r="E110" s="99">
        <f>IF(LEFT($A$99,5)="blank",0,E33/'Input Global'!E$19)</f>
        <v>0</v>
      </c>
      <c r="F110" s="99">
        <f>IF(LEFT($A$99,5)="blank",0,F33/'Input Global'!F$19)</f>
        <v>0</v>
      </c>
      <c r="G110" s="99">
        <f>IF(LEFT($A$99,5)="blank",0,G33/'Input Global'!G$19)</f>
        <v>0</v>
      </c>
      <c r="H110" s="99">
        <f>IF(LEFT($A$99,5)="blank",0,H33/'Input Global'!H$19)</f>
        <v>0</v>
      </c>
    </row>
    <row r="111" spans="1:8" hidden="1" x14ac:dyDescent="0.3">
      <c r="A111" s="19" t="str">
        <f t="shared" si="11"/>
        <v>Energy Savings</v>
      </c>
      <c r="B111" s="17" t="s">
        <v>37</v>
      </c>
      <c r="C111" s="17" t="s">
        <v>11</v>
      </c>
      <c r="D111" s="99">
        <f>IF(LEFT($A$99,5)="blank",0,D34/'Input Global'!D$19)</f>
        <v>0</v>
      </c>
      <c r="E111" s="99">
        <f>IF(LEFT($A$99,5)="blank",0,E34/'Input Global'!E$19)</f>
        <v>0</v>
      </c>
      <c r="F111" s="99">
        <f>IF(LEFT($A$99,5)="blank",0,F34/'Input Global'!F$19)</f>
        <v>0</v>
      </c>
      <c r="G111" s="99">
        <f>IF(LEFT($A$99,5)="blank",0,G34/'Input Global'!G$19)</f>
        <v>0</v>
      </c>
      <c r="H111" s="99">
        <f>IF(LEFT($A$99,5)="blank",0,H34/'Input Global'!H$19)</f>
        <v>0</v>
      </c>
    </row>
    <row r="112" spans="1:8" hidden="1" x14ac:dyDescent="0.3">
      <c r="A112" s="20" t="s">
        <v>55</v>
      </c>
      <c r="B112" s="20" t="s">
        <v>37</v>
      </c>
      <c r="C112" s="20" t="s">
        <v>11</v>
      </c>
      <c r="D112" s="99">
        <f>SUM(D100:D111)</f>
        <v>0</v>
      </c>
      <c r="E112" s="99">
        <f t="shared" ref="E112:H112" si="12">SUM(E100:E111)</f>
        <v>0</v>
      </c>
      <c r="F112" s="99">
        <f t="shared" si="12"/>
        <v>0</v>
      </c>
      <c r="G112" s="99">
        <f t="shared" si="12"/>
        <v>0</v>
      </c>
      <c r="H112" s="99">
        <f t="shared" si="12"/>
        <v>0</v>
      </c>
    </row>
    <row r="113" spans="1:8" hidden="1" x14ac:dyDescent="0.3">
      <c r="A113" s="120"/>
      <c r="B113" s="120"/>
      <c r="C113" s="120"/>
      <c r="D113" s="121"/>
      <c r="E113" s="121"/>
      <c r="F113" s="121"/>
      <c r="G113" s="121"/>
      <c r="H113" s="121"/>
    </row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B115" s="17" t="s">
        <v>37</v>
      </c>
      <c r="C115" s="17" t="s">
        <v>11</v>
      </c>
      <c r="D115" s="99">
        <f>IF(LEFT($A$114,5)="blank",0,D38/'Input Global'!D$20)</f>
        <v>0</v>
      </c>
      <c r="E115" s="99">
        <f>IF(LEFT($A$114,5)="blank",0,E38/'Input Global'!E$20)</f>
        <v>0</v>
      </c>
      <c r="F115" s="99">
        <f>IF(LEFT($A$114,5)="blank",0,F38/'Input Global'!F$20)</f>
        <v>0</v>
      </c>
      <c r="G115" s="99">
        <f>IF(LEFT($A$114,5)="blank",0,G38/'Input Global'!G$20)</f>
        <v>0</v>
      </c>
      <c r="H115" s="99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B116" s="17" t="s">
        <v>37</v>
      </c>
      <c r="C116" s="17" t="s">
        <v>11</v>
      </c>
      <c r="D116" s="99">
        <f>IF(LEFT($A$114,5)="blank",0,D39/'Input Global'!D$20)</f>
        <v>0</v>
      </c>
      <c r="E116" s="99">
        <f>IF(LEFT($A$114,5)="blank",0,E39/'Input Global'!E$20)</f>
        <v>0</v>
      </c>
      <c r="F116" s="99">
        <f>IF(LEFT($A$114,5)="blank",0,F39/'Input Global'!F$20)</f>
        <v>0</v>
      </c>
      <c r="G116" s="99">
        <f>IF(LEFT($A$114,5)="blank",0,G39/'Input Global'!G$20)</f>
        <v>0</v>
      </c>
      <c r="H116" s="99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B117" s="17" t="s">
        <v>37</v>
      </c>
      <c r="C117" s="17" t="s">
        <v>11</v>
      </c>
      <c r="D117" s="99">
        <f>IF(LEFT($A$114,5)="blank",0,D40/'Input Global'!D$20)</f>
        <v>0</v>
      </c>
      <c r="E117" s="99">
        <f>IF(LEFT($A$114,5)="blank",0,E40/'Input Global'!E$20)</f>
        <v>0</v>
      </c>
      <c r="F117" s="99">
        <f>IF(LEFT($A$114,5)="blank",0,F40/'Input Global'!F$20)</f>
        <v>0</v>
      </c>
      <c r="G117" s="99">
        <f>IF(LEFT($A$114,5)="blank",0,G40/'Input Global'!G$20)</f>
        <v>0</v>
      </c>
      <c r="H117" s="99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B118" s="17" t="s">
        <v>37</v>
      </c>
      <c r="C118" s="17" t="s">
        <v>11</v>
      </c>
      <c r="D118" s="99">
        <f>IF(LEFT($A$114,5)="blank",0,D41/'Input Global'!D$20)</f>
        <v>0</v>
      </c>
      <c r="E118" s="99">
        <f>IF(LEFT($A$114,5)="blank",0,E41/'Input Global'!E$20)</f>
        <v>0</v>
      </c>
      <c r="F118" s="99">
        <f>IF(LEFT($A$114,5)="blank",0,F41/'Input Global'!F$20)</f>
        <v>0</v>
      </c>
      <c r="G118" s="99">
        <f>IF(LEFT($A$114,5)="blank",0,G41/'Input Global'!G$20)</f>
        <v>0</v>
      </c>
      <c r="H118" s="99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B119" s="17" t="s">
        <v>37</v>
      </c>
      <c r="C119" s="17" t="s">
        <v>11</v>
      </c>
      <c r="D119" s="99">
        <f>IF(LEFT($A$114,5)="blank",0,D42/'Input Global'!D$20)</f>
        <v>0</v>
      </c>
      <c r="E119" s="99">
        <f>IF(LEFT($A$114,5)="blank",0,E42/'Input Global'!E$20)</f>
        <v>0</v>
      </c>
      <c r="F119" s="99">
        <f>IF(LEFT($A$114,5)="blank",0,F42/'Input Global'!F$20)</f>
        <v>0</v>
      </c>
      <c r="G119" s="99">
        <f>IF(LEFT($A$114,5)="blank",0,G42/'Input Global'!G$20)</f>
        <v>0</v>
      </c>
      <c r="H119" s="99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11</v>
      </c>
      <c r="D120" s="95"/>
      <c r="E120" s="95"/>
      <c r="F120" s="95"/>
      <c r="G120" s="95"/>
      <c r="H120" s="95"/>
    </row>
    <row r="121" spans="1:8" hidden="1" x14ac:dyDescent="0.3">
      <c r="A121" s="19" t="str">
        <f t="shared" si="13"/>
        <v>Feed-in Tariffs</v>
      </c>
      <c r="B121" s="17" t="s">
        <v>37</v>
      </c>
      <c r="C121" s="17" t="s">
        <v>11</v>
      </c>
      <c r="D121" s="99">
        <f>IF(LEFT($A$114,5)="blank",0,D44/'Input Global'!D$20)</f>
        <v>0</v>
      </c>
      <c r="E121" s="99">
        <f>IF(LEFT($A$114,5)="blank",0,E44/'Input Global'!E$20)</f>
        <v>0</v>
      </c>
      <c r="F121" s="99">
        <f>IF(LEFT($A$114,5)="blank",0,F44/'Input Global'!F$20)</f>
        <v>0</v>
      </c>
      <c r="G121" s="99">
        <f>IF(LEFT($A$114,5)="blank",0,G44/'Input Global'!G$20)</f>
        <v>0</v>
      </c>
      <c r="H121" s="99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B122" s="17" t="s">
        <v>37</v>
      </c>
      <c r="C122" s="17" t="s">
        <v>11</v>
      </c>
      <c r="D122" s="99">
        <f>IF(LEFT($A$114,5)="blank",0,D45/'Input Global'!D$20)</f>
        <v>0</v>
      </c>
      <c r="E122" s="99">
        <f>IF(LEFT($A$114,5)="blank",0,E45/'Input Global'!E$20)</f>
        <v>0</v>
      </c>
      <c r="F122" s="99">
        <f>IF(LEFT($A$114,5)="blank",0,F45/'Input Global'!F$20)</f>
        <v>0</v>
      </c>
      <c r="G122" s="99">
        <f>IF(LEFT($A$114,5)="blank",0,G45/'Input Global'!G$20)</f>
        <v>0</v>
      </c>
      <c r="H122" s="99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B123" s="17" t="s">
        <v>37</v>
      </c>
      <c r="C123" s="17" t="s">
        <v>11</v>
      </c>
      <c r="D123" s="99">
        <f>IF(LEFT($A$114,5)="blank",0,D46/'Input Global'!D$20)</f>
        <v>0</v>
      </c>
      <c r="E123" s="99">
        <f>IF(LEFT($A$114,5)="blank",0,E46/'Input Global'!E$20)</f>
        <v>0</v>
      </c>
      <c r="F123" s="99">
        <f>IF(LEFT($A$114,5)="blank",0,F46/'Input Global'!F$20)</f>
        <v>0</v>
      </c>
      <c r="G123" s="99">
        <f>IF(LEFT($A$114,5)="blank",0,G46/'Input Global'!G$20)</f>
        <v>0</v>
      </c>
      <c r="H123" s="99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B124" s="17" t="s">
        <v>37</v>
      </c>
      <c r="C124" s="17" t="s">
        <v>11</v>
      </c>
      <c r="D124" s="99">
        <f>IF(LEFT($A$114,5)="blank",0,D47/'Input Global'!D$20)</f>
        <v>0</v>
      </c>
      <c r="E124" s="99">
        <f>IF(LEFT($A$114,5)="blank",0,E47/'Input Global'!E$20)</f>
        <v>0</v>
      </c>
      <c r="F124" s="99">
        <f>IF(LEFT($A$114,5)="blank",0,F47/'Input Global'!F$20)</f>
        <v>0</v>
      </c>
      <c r="G124" s="99">
        <f>IF(LEFT($A$114,5)="blank",0,G47/'Input Global'!G$20)</f>
        <v>0</v>
      </c>
      <c r="H124" s="99">
        <f>IF(LEFT($A$114,5)="blank",0,H47/'Input Global'!H$20)</f>
        <v>0</v>
      </c>
    </row>
    <row r="125" spans="1:8" hidden="1" x14ac:dyDescent="0.3">
      <c r="A125" s="19" t="str">
        <f t="shared" si="13"/>
        <v>Greenhouse gas abatement scheme</v>
      </c>
      <c r="B125" s="17" t="s">
        <v>37</v>
      </c>
      <c r="C125" s="17" t="s">
        <v>11</v>
      </c>
      <c r="D125" s="99">
        <f>IF(LEFT($A$114,5)="blank",0,D48/'Input Global'!D$20)</f>
        <v>0</v>
      </c>
      <c r="E125" s="99">
        <f>IF(LEFT($A$114,5)="blank",0,E48/'Input Global'!E$20)</f>
        <v>0</v>
      </c>
      <c r="F125" s="99">
        <f>IF(LEFT($A$114,5)="blank",0,F48/'Input Global'!F$20)</f>
        <v>0</v>
      </c>
      <c r="G125" s="99">
        <f>IF(LEFT($A$114,5)="blank",0,G48/'Input Global'!G$20)</f>
        <v>0</v>
      </c>
      <c r="H125" s="99">
        <f>IF(LEFT($A$114,5)="blank",0,H48/'Input Global'!H$20)</f>
        <v>0</v>
      </c>
    </row>
    <row r="126" spans="1:8" hidden="1" x14ac:dyDescent="0.3">
      <c r="A126" s="19" t="str">
        <f t="shared" si="13"/>
        <v>Energy Savings</v>
      </c>
      <c r="B126" s="17" t="s">
        <v>37</v>
      </c>
      <c r="C126" s="17" t="s">
        <v>11</v>
      </c>
      <c r="D126" s="99">
        <f>IF(LEFT($A$114,5)="blank",0,D49/'Input Global'!D$20)</f>
        <v>0</v>
      </c>
      <c r="E126" s="99">
        <f>IF(LEFT($A$114,5)="blank",0,E49/'Input Global'!E$20)</f>
        <v>0</v>
      </c>
      <c r="F126" s="99">
        <f>IF(LEFT($A$114,5)="blank",0,F49/'Input Global'!F$20)</f>
        <v>0</v>
      </c>
      <c r="G126" s="99">
        <f>IF(LEFT($A$114,5)="blank",0,G49/'Input Global'!G$20)</f>
        <v>0</v>
      </c>
      <c r="H126" s="99">
        <f>IF(LEFT($A$114,5)="blank",0,H49/'Input Global'!H$20)</f>
        <v>0</v>
      </c>
    </row>
    <row r="127" spans="1:8" hidden="1" x14ac:dyDescent="0.3">
      <c r="A127" s="20" t="s">
        <v>55</v>
      </c>
      <c r="B127" s="20" t="s">
        <v>37</v>
      </c>
      <c r="C127" s="20" t="s">
        <v>11</v>
      </c>
      <c r="D127" s="99">
        <f>SUM(D115:D126)</f>
        <v>0</v>
      </c>
      <c r="E127" s="99">
        <f t="shared" ref="E127:H127" si="14">SUM(E115:E126)</f>
        <v>0</v>
      </c>
      <c r="F127" s="99">
        <f t="shared" si="14"/>
        <v>0</v>
      </c>
      <c r="G127" s="99">
        <f t="shared" si="14"/>
        <v>0</v>
      </c>
      <c r="H127" s="99">
        <f t="shared" si="14"/>
        <v>0</v>
      </c>
    </row>
    <row r="128" spans="1:8" hidden="1" x14ac:dyDescent="0.3">
      <c r="A128" s="120"/>
      <c r="B128" s="120"/>
      <c r="C128" s="120"/>
      <c r="D128" s="121"/>
      <c r="E128" s="121"/>
      <c r="F128" s="121"/>
      <c r="G128" s="121"/>
      <c r="H128" s="121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37</v>
      </c>
      <c r="C130" s="17" t="s">
        <v>11</v>
      </c>
      <c r="D130" s="99">
        <f>IF(LEFT($A$129,5)="blank",0,D53/'Input Global'!D$21)</f>
        <v>0</v>
      </c>
      <c r="E130" s="99">
        <f>IF(LEFT($A$129,5)="blank",0,E53/'Input Global'!E$21)</f>
        <v>0</v>
      </c>
      <c r="F130" s="99">
        <f>IF(LEFT($A$129,5)="blank",0,F53/'Input Global'!F$21)</f>
        <v>0</v>
      </c>
      <c r="G130" s="99">
        <f>IF(LEFT($A$129,5)="blank",0,G53/'Input Global'!G$21)</f>
        <v>0</v>
      </c>
      <c r="H130" s="99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37</v>
      </c>
      <c r="C131" s="17" t="s">
        <v>11</v>
      </c>
      <c r="D131" s="99">
        <f>IF(LEFT($A$129,5)="blank",0,D54/'Input Global'!D$21)</f>
        <v>0</v>
      </c>
      <c r="E131" s="99">
        <f>IF(LEFT($A$129,5)="blank",0,E54/'Input Global'!E$21)</f>
        <v>0</v>
      </c>
      <c r="F131" s="99">
        <f>IF(LEFT($A$129,5)="blank",0,F54/'Input Global'!F$21)</f>
        <v>0</v>
      </c>
      <c r="G131" s="99">
        <f>IF(LEFT($A$129,5)="blank",0,G54/'Input Global'!G$21)</f>
        <v>0</v>
      </c>
      <c r="H131" s="99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37</v>
      </c>
      <c r="C132" s="17" t="s">
        <v>11</v>
      </c>
      <c r="D132" s="99">
        <f>IF(LEFT($A$129,5)="blank",0,D55/'Input Global'!D$21)</f>
        <v>0</v>
      </c>
      <c r="E132" s="99">
        <f>IF(LEFT($A$129,5)="blank",0,E55/'Input Global'!E$21)</f>
        <v>0</v>
      </c>
      <c r="F132" s="99">
        <f>IF(LEFT($A$129,5)="blank",0,F55/'Input Global'!F$21)</f>
        <v>0</v>
      </c>
      <c r="G132" s="99">
        <f>IF(LEFT($A$129,5)="blank",0,G55/'Input Global'!G$21)</f>
        <v>0</v>
      </c>
      <c r="H132" s="99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37</v>
      </c>
      <c r="C133" s="17" t="s">
        <v>11</v>
      </c>
      <c r="D133" s="99">
        <f>IF(LEFT($A$129,5)="blank",0,D56/'Input Global'!D$21)</f>
        <v>0</v>
      </c>
      <c r="E133" s="99">
        <f>IF(LEFT($A$129,5)="blank",0,E56/'Input Global'!E$21)</f>
        <v>0</v>
      </c>
      <c r="F133" s="99">
        <f>IF(LEFT($A$129,5)="blank",0,F56/'Input Global'!F$21)</f>
        <v>0</v>
      </c>
      <c r="G133" s="99">
        <f>IF(LEFT($A$129,5)="blank",0,G56/'Input Global'!G$21)</f>
        <v>0</v>
      </c>
      <c r="H133" s="99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37</v>
      </c>
      <c r="C134" s="17" t="s">
        <v>11</v>
      </c>
      <c r="D134" s="99">
        <f>IF(LEFT($A$129,5)="blank",0,D57/'Input Global'!D$21)</f>
        <v>0</v>
      </c>
      <c r="E134" s="99">
        <f>IF(LEFT($A$129,5)="blank",0,E57/'Input Global'!E$21)</f>
        <v>0</v>
      </c>
      <c r="F134" s="99">
        <f>IF(LEFT($A$129,5)="blank",0,F57/'Input Global'!F$21)</f>
        <v>0</v>
      </c>
      <c r="G134" s="99">
        <f>IF(LEFT($A$129,5)="blank",0,G57/'Input Global'!G$21)</f>
        <v>0</v>
      </c>
      <c r="H134" s="99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11</v>
      </c>
      <c r="D135" s="95"/>
      <c r="E135" s="95"/>
      <c r="F135" s="95"/>
      <c r="G135" s="95"/>
      <c r="H135" s="95"/>
    </row>
    <row r="136" spans="1:8" hidden="1" x14ac:dyDescent="0.3">
      <c r="A136" s="19" t="str">
        <f t="shared" si="15"/>
        <v>Feed-in Tariffs</v>
      </c>
      <c r="B136" s="17" t="s">
        <v>37</v>
      </c>
      <c r="C136" s="17" t="s">
        <v>11</v>
      </c>
      <c r="D136" s="99">
        <f>IF(LEFT($A$129,5)="blank",0,D59/'Input Global'!D$21)</f>
        <v>0</v>
      </c>
      <c r="E136" s="99">
        <f>IF(LEFT($A$129,5)="blank",0,E59/'Input Global'!E$21)</f>
        <v>0</v>
      </c>
      <c r="F136" s="99">
        <f>IF(LEFT($A$129,5)="blank",0,F59/'Input Global'!F$21)</f>
        <v>0</v>
      </c>
      <c r="G136" s="99">
        <f>IF(LEFT($A$129,5)="blank",0,G59/'Input Global'!G$21)</f>
        <v>0</v>
      </c>
      <c r="H136" s="99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37</v>
      </c>
      <c r="C137" s="17" t="s">
        <v>11</v>
      </c>
      <c r="D137" s="99">
        <f>IF(LEFT($A$129,5)="blank",0,D60/'Input Global'!D$21)</f>
        <v>0</v>
      </c>
      <c r="E137" s="99">
        <f>IF(LEFT($A$129,5)="blank",0,E60/'Input Global'!E$21)</f>
        <v>0</v>
      </c>
      <c r="F137" s="99">
        <f>IF(LEFT($A$129,5)="blank",0,F60/'Input Global'!F$21)</f>
        <v>0</v>
      </c>
      <c r="G137" s="99">
        <f>IF(LEFT($A$129,5)="blank",0,G60/'Input Global'!G$21)</f>
        <v>0</v>
      </c>
      <c r="H137" s="99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37</v>
      </c>
      <c r="C138" s="17" t="s">
        <v>11</v>
      </c>
      <c r="D138" s="99">
        <f>IF(LEFT($A$129,5)="blank",0,D61/'Input Global'!D$21)</f>
        <v>0</v>
      </c>
      <c r="E138" s="99">
        <f>IF(LEFT($A$129,5)="blank",0,E61/'Input Global'!E$21)</f>
        <v>0</v>
      </c>
      <c r="F138" s="99">
        <f>IF(LEFT($A$129,5)="blank",0,F61/'Input Global'!F$21)</f>
        <v>0</v>
      </c>
      <c r="G138" s="99">
        <f>IF(LEFT($A$129,5)="blank",0,G61/'Input Global'!G$21)</f>
        <v>0</v>
      </c>
      <c r="H138" s="99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37</v>
      </c>
      <c r="C139" s="17" t="s">
        <v>11</v>
      </c>
      <c r="D139" s="99">
        <f>IF(LEFT($A$129,5)="blank",0,D62/'Input Global'!D$21)</f>
        <v>0</v>
      </c>
      <c r="E139" s="99">
        <f>IF(LEFT($A$129,5)="blank",0,E62/'Input Global'!E$21)</f>
        <v>0</v>
      </c>
      <c r="F139" s="99">
        <f>IF(LEFT($A$129,5)="blank",0,F62/'Input Global'!F$21)</f>
        <v>0</v>
      </c>
      <c r="G139" s="99">
        <f>IF(LEFT($A$129,5)="blank",0,G62/'Input Global'!G$21)</f>
        <v>0</v>
      </c>
      <c r="H139" s="99">
        <f>IF(LEFT($A$129,5)="blank",0,H62/'Input Global'!H$21)</f>
        <v>0</v>
      </c>
    </row>
    <row r="140" spans="1:8" hidden="1" x14ac:dyDescent="0.3">
      <c r="A140" s="19" t="str">
        <f t="shared" si="15"/>
        <v>Greenhouse gas abatement scheme</v>
      </c>
      <c r="B140" s="17" t="s">
        <v>37</v>
      </c>
      <c r="C140" s="17" t="s">
        <v>11</v>
      </c>
      <c r="D140" s="99">
        <f>IF(LEFT($A$129,5)="blank",0,D63/'Input Global'!D$21)</f>
        <v>0</v>
      </c>
      <c r="E140" s="99">
        <f>IF(LEFT($A$129,5)="blank",0,E63/'Input Global'!E$21)</f>
        <v>0</v>
      </c>
      <c r="F140" s="99">
        <f>IF(LEFT($A$129,5)="blank",0,F63/'Input Global'!F$21)</f>
        <v>0</v>
      </c>
      <c r="G140" s="99">
        <f>IF(LEFT($A$129,5)="blank",0,G63/'Input Global'!G$21)</f>
        <v>0</v>
      </c>
      <c r="H140" s="99">
        <f>IF(LEFT($A$129,5)="blank",0,H63/'Input Global'!H$21)</f>
        <v>0</v>
      </c>
    </row>
    <row r="141" spans="1:8" hidden="1" x14ac:dyDescent="0.3">
      <c r="A141" s="19" t="str">
        <f t="shared" si="15"/>
        <v>Energy Savings</v>
      </c>
      <c r="B141" s="17" t="s">
        <v>37</v>
      </c>
      <c r="C141" s="17" t="s">
        <v>11</v>
      </c>
      <c r="D141" s="99">
        <f>IF(LEFT($A$129,5)="blank",0,D64/'Input Global'!D$21)</f>
        <v>0</v>
      </c>
      <c r="E141" s="99">
        <f>IF(LEFT($A$129,5)="blank",0,E64/'Input Global'!E$21)</f>
        <v>0</v>
      </c>
      <c r="F141" s="99">
        <f>IF(LEFT($A$129,5)="blank",0,F64/'Input Global'!F$21)</f>
        <v>0</v>
      </c>
      <c r="G141" s="99">
        <f>IF(LEFT($A$129,5)="blank",0,G64/'Input Global'!G$21)</f>
        <v>0</v>
      </c>
      <c r="H141" s="99">
        <f>IF(LEFT($A$129,5)="blank",0,H64/'Input Global'!H$21)</f>
        <v>0</v>
      </c>
    </row>
    <row r="142" spans="1:8" hidden="1" x14ac:dyDescent="0.3">
      <c r="A142" s="20" t="s">
        <v>55</v>
      </c>
      <c r="B142" s="20" t="s">
        <v>37</v>
      </c>
      <c r="C142" s="20" t="s">
        <v>11</v>
      </c>
      <c r="D142" s="99">
        <f>SUM(D130:D141)</f>
        <v>0</v>
      </c>
      <c r="E142" s="99">
        <f t="shared" ref="E142:H142" si="16">SUM(E130:E141)</f>
        <v>0</v>
      </c>
      <c r="F142" s="99">
        <f t="shared" si="16"/>
        <v>0</v>
      </c>
      <c r="G142" s="99">
        <f t="shared" si="16"/>
        <v>0</v>
      </c>
      <c r="H142" s="99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37</v>
      </c>
      <c r="C145" s="17" t="s">
        <v>11</v>
      </c>
      <c r="D145" s="99">
        <f>IF(LEFT($A$144,5)="blank",0,D68/'Input Global'!D$22)</f>
        <v>0</v>
      </c>
      <c r="E145" s="99">
        <f>IF(LEFT($A$144,5)="blank",0,E68/'Input Global'!E$22)</f>
        <v>0</v>
      </c>
      <c r="F145" s="99">
        <f>IF(LEFT($A$144,5)="blank",0,F68/'Input Global'!F$22)</f>
        <v>0</v>
      </c>
      <c r="G145" s="99">
        <f>IF(LEFT($A$144,5)="blank",0,G68/'Input Global'!G$22)</f>
        <v>0</v>
      </c>
      <c r="H145" s="99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37</v>
      </c>
      <c r="C146" s="17" t="s">
        <v>11</v>
      </c>
      <c r="D146" s="99">
        <f>IF(LEFT($A$144,5)="blank",0,D69/'Input Global'!D$22)</f>
        <v>0</v>
      </c>
      <c r="E146" s="99">
        <f>IF(LEFT($A$144,5)="blank",0,E69/'Input Global'!E$22)</f>
        <v>0</v>
      </c>
      <c r="F146" s="99">
        <f>IF(LEFT($A$144,5)="blank",0,F69/'Input Global'!F$22)</f>
        <v>0</v>
      </c>
      <c r="G146" s="99">
        <f>IF(LEFT($A$144,5)="blank",0,G69/'Input Global'!G$22)</f>
        <v>0</v>
      </c>
      <c r="H146" s="99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37</v>
      </c>
      <c r="C147" s="17" t="s">
        <v>11</v>
      </c>
      <c r="D147" s="99">
        <f>IF(LEFT($A$144,5)="blank",0,D70/'Input Global'!D$22)</f>
        <v>0</v>
      </c>
      <c r="E147" s="99">
        <f>IF(LEFT($A$144,5)="blank",0,E70/'Input Global'!E$22)</f>
        <v>0</v>
      </c>
      <c r="F147" s="99">
        <f>IF(LEFT($A$144,5)="blank",0,F70/'Input Global'!F$22)</f>
        <v>0</v>
      </c>
      <c r="G147" s="99">
        <f>IF(LEFT($A$144,5)="blank",0,G70/'Input Global'!G$22)</f>
        <v>0</v>
      </c>
      <c r="H147" s="99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37</v>
      </c>
      <c r="C148" s="17" t="s">
        <v>11</v>
      </c>
      <c r="D148" s="99">
        <f>IF(LEFT($A$144,5)="blank",0,D71/'Input Global'!D$22)</f>
        <v>0</v>
      </c>
      <c r="E148" s="99">
        <f>IF(LEFT($A$144,5)="blank",0,E71/'Input Global'!E$22)</f>
        <v>0</v>
      </c>
      <c r="F148" s="99">
        <f>IF(LEFT($A$144,5)="blank",0,F71/'Input Global'!F$22)</f>
        <v>0</v>
      </c>
      <c r="G148" s="99">
        <f>IF(LEFT($A$144,5)="blank",0,G71/'Input Global'!G$22)</f>
        <v>0</v>
      </c>
      <c r="H148" s="99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37</v>
      </c>
      <c r="C149" s="17" t="s">
        <v>11</v>
      </c>
      <c r="D149" s="99">
        <f>IF(LEFT($A$144,5)="blank",0,D72/'Input Global'!D$22)</f>
        <v>0</v>
      </c>
      <c r="E149" s="99">
        <f>IF(LEFT($A$144,5)="blank",0,E72/'Input Global'!E$22)</f>
        <v>0</v>
      </c>
      <c r="F149" s="99">
        <f>IF(LEFT($A$144,5)="blank",0,F72/'Input Global'!F$22)</f>
        <v>0</v>
      </c>
      <c r="G149" s="99">
        <f>IF(LEFT($A$144,5)="blank",0,G72/'Input Global'!G$22)</f>
        <v>0</v>
      </c>
      <c r="H149" s="99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11</v>
      </c>
      <c r="D150" s="95"/>
      <c r="E150" s="95"/>
      <c r="F150" s="95"/>
      <c r="G150" s="95"/>
      <c r="H150" s="95"/>
    </row>
    <row r="151" spans="1:8" hidden="1" x14ac:dyDescent="0.3">
      <c r="A151" s="19" t="str">
        <f t="shared" si="17"/>
        <v>Feed-in Tariffs</v>
      </c>
      <c r="B151" s="17" t="s">
        <v>37</v>
      </c>
      <c r="C151" s="17" t="s">
        <v>11</v>
      </c>
      <c r="D151" s="99">
        <f>IF(LEFT($A$144,5)="blank",0,D74/'Input Global'!D$22)</f>
        <v>0</v>
      </c>
      <c r="E151" s="99">
        <f>IF(LEFT($A$144,5)="blank",0,E74/'Input Global'!E$22)</f>
        <v>0</v>
      </c>
      <c r="F151" s="99">
        <f>IF(LEFT($A$144,5)="blank",0,F74/'Input Global'!F$22)</f>
        <v>0</v>
      </c>
      <c r="G151" s="99">
        <f>IF(LEFT($A$144,5)="blank",0,G74/'Input Global'!G$22)</f>
        <v>0</v>
      </c>
      <c r="H151" s="99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37</v>
      </c>
      <c r="C152" s="17" t="s">
        <v>11</v>
      </c>
      <c r="D152" s="99">
        <f>IF(LEFT($A$144,5)="blank",0,D75/'Input Global'!D$22)</f>
        <v>0</v>
      </c>
      <c r="E152" s="99">
        <f>IF(LEFT($A$144,5)="blank",0,E75/'Input Global'!E$22)</f>
        <v>0</v>
      </c>
      <c r="F152" s="99">
        <f>IF(LEFT($A$144,5)="blank",0,F75/'Input Global'!F$22)</f>
        <v>0</v>
      </c>
      <c r="G152" s="99">
        <f>IF(LEFT($A$144,5)="blank",0,G75/'Input Global'!G$22)</f>
        <v>0</v>
      </c>
      <c r="H152" s="99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37</v>
      </c>
      <c r="C153" s="17" t="s">
        <v>11</v>
      </c>
      <c r="D153" s="99">
        <f>IF(LEFT($A$144,5)="blank",0,D76/'Input Global'!D$22)</f>
        <v>0</v>
      </c>
      <c r="E153" s="99">
        <f>IF(LEFT($A$144,5)="blank",0,E76/'Input Global'!E$22)</f>
        <v>0</v>
      </c>
      <c r="F153" s="99">
        <f>IF(LEFT($A$144,5)="blank",0,F76/'Input Global'!F$22)</f>
        <v>0</v>
      </c>
      <c r="G153" s="99">
        <f>IF(LEFT($A$144,5)="blank",0,G76/'Input Global'!G$22)</f>
        <v>0</v>
      </c>
      <c r="H153" s="99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37</v>
      </c>
      <c r="C154" s="17" t="s">
        <v>11</v>
      </c>
      <c r="D154" s="99">
        <f>IF(LEFT($A$144,5)="blank",0,D77/'Input Global'!D$22)</f>
        <v>0</v>
      </c>
      <c r="E154" s="99">
        <f>IF(LEFT($A$144,5)="blank",0,E77/'Input Global'!E$22)</f>
        <v>0</v>
      </c>
      <c r="F154" s="99">
        <f>IF(LEFT($A$144,5)="blank",0,F77/'Input Global'!F$22)</f>
        <v>0</v>
      </c>
      <c r="G154" s="99">
        <f>IF(LEFT($A$144,5)="blank",0,G77/'Input Global'!G$22)</f>
        <v>0</v>
      </c>
      <c r="H154" s="99">
        <f>IF(LEFT($A$144,5)="blank",0,H77/'Input Global'!H$22)</f>
        <v>0</v>
      </c>
    </row>
    <row r="155" spans="1:8" hidden="1" x14ac:dyDescent="0.3">
      <c r="A155" s="19" t="str">
        <f t="shared" si="17"/>
        <v>Greenhouse gas abatement scheme</v>
      </c>
      <c r="B155" s="17" t="s">
        <v>37</v>
      </c>
      <c r="C155" s="17" t="s">
        <v>11</v>
      </c>
      <c r="D155" s="99">
        <f>IF(LEFT($A$144,5)="blank",0,D78/'Input Global'!D$22)</f>
        <v>0</v>
      </c>
      <c r="E155" s="99">
        <f>IF(LEFT($A$144,5)="blank",0,E78/'Input Global'!E$22)</f>
        <v>0</v>
      </c>
      <c r="F155" s="99">
        <f>IF(LEFT($A$144,5)="blank",0,F78/'Input Global'!F$22)</f>
        <v>0</v>
      </c>
      <c r="G155" s="99">
        <f>IF(LEFT($A$144,5)="blank",0,G78/'Input Global'!G$22)</f>
        <v>0</v>
      </c>
      <c r="H155" s="99">
        <f>IF(LEFT($A$144,5)="blank",0,H78/'Input Global'!H$22)</f>
        <v>0</v>
      </c>
    </row>
    <row r="156" spans="1:8" hidden="1" x14ac:dyDescent="0.3">
      <c r="A156" s="19" t="str">
        <f t="shared" si="17"/>
        <v>Energy Savings</v>
      </c>
      <c r="B156" s="17" t="s">
        <v>37</v>
      </c>
      <c r="C156" s="17" t="s">
        <v>11</v>
      </c>
      <c r="D156" s="99">
        <f>IF(LEFT($A$144,5)="blank",0,D79/'Input Global'!D$22)</f>
        <v>0</v>
      </c>
      <c r="E156" s="99">
        <f>IF(LEFT($A$144,5)="blank",0,E79/'Input Global'!E$22)</f>
        <v>0</v>
      </c>
      <c r="F156" s="99">
        <f>IF(LEFT($A$144,5)="blank",0,F79/'Input Global'!F$22)</f>
        <v>0</v>
      </c>
      <c r="G156" s="99">
        <f>IF(LEFT($A$144,5)="blank",0,G79/'Input Global'!G$22)</f>
        <v>0</v>
      </c>
      <c r="H156" s="99">
        <f>IF(LEFT($A$144,5)="blank",0,H79/'Input Global'!H$22)</f>
        <v>0</v>
      </c>
    </row>
    <row r="157" spans="1:8" hidden="1" x14ac:dyDescent="0.3">
      <c r="A157" s="20" t="s">
        <v>55</v>
      </c>
      <c r="B157" s="20" t="s">
        <v>37</v>
      </c>
      <c r="C157" s="20" t="s">
        <v>11</v>
      </c>
      <c r="D157" s="99">
        <f>SUM(D145:D156)</f>
        <v>0</v>
      </c>
      <c r="E157" s="99">
        <f t="shared" ref="E157:H157" si="18">SUM(E145:E156)</f>
        <v>0</v>
      </c>
      <c r="F157" s="99">
        <f t="shared" si="18"/>
        <v>0</v>
      </c>
      <c r="G157" s="99">
        <f t="shared" si="18"/>
        <v>0</v>
      </c>
      <c r="H157" s="99">
        <f t="shared" si="18"/>
        <v>0</v>
      </c>
    </row>
    <row r="159" spans="1:8" ht="18.75" x14ac:dyDescent="0.3">
      <c r="A159" s="16" t="s">
        <v>69</v>
      </c>
    </row>
    <row r="160" spans="1:8" x14ac:dyDescent="0.3">
      <c r="A160" s="17" t="str">
        <f>Dist1</f>
        <v>ActewAGL</v>
      </c>
      <c r="B160" s="17" t="s">
        <v>37</v>
      </c>
      <c r="C160" s="17" t="s">
        <v>23</v>
      </c>
      <c r="D160" s="100">
        <f>'Input Global'!D25/'Input Global'!D$30</f>
        <v>1</v>
      </c>
      <c r="E160" s="100">
        <f>'Input Global'!E25/'Input Global'!E$30</f>
        <v>1</v>
      </c>
      <c r="F160" s="100">
        <f>'Input Global'!F25/'Input Global'!F$30</f>
        <v>1</v>
      </c>
      <c r="G160" s="100">
        <f>'Input Global'!G25/'Input Global'!G$30</f>
        <v>1</v>
      </c>
      <c r="H160" s="100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37</v>
      </c>
      <c r="C161" s="17" t="s">
        <v>23</v>
      </c>
      <c r="D161" s="100">
        <f>'Input Global'!D26/'Input Global'!D$30</f>
        <v>0</v>
      </c>
      <c r="E161" s="100">
        <f>'Input Global'!E26/'Input Global'!E$30</f>
        <v>0</v>
      </c>
      <c r="F161" s="100">
        <f>'Input Global'!F26/'Input Global'!F$30</f>
        <v>0</v>
      </c>
      <c r="G161" s="100">
        <f>'Input Global'!G26/'Input Global'!G$30</f>
        <v>0</v>
      </c>
      <c r="H161" s="100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37</v>
      </c>
      <c r="C162" s="17" t="s">
        <v>23</v>
      </c>
      <c r="D162" s="100">
        <f>'Input Global'!D27/'Input Global'!D$30</f>
        <v>0</v>
      </c>
      <c r="E162" s="100">
        <f>'Input Global'!E27/'Input Global'!E$30</f>
        <v>0</v>
      </c>
      <c r="F162" s="100">
        <f>'Input Global'!F27/'Input Global'!F$30</f>
        <v>0</v>
      </c>
      <c r="G162" s="100">
        <f>'Input Global'!G27/'Input Global'!G$30</f>
        <v>0</v>
      </c>
      <c r="H162" s="100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37</v>
      </c>
      <c r="C163" s="17" t="s">
        <v>23</v>
      </c>
      <c r="D163" s="100">
        <f>'Input Global'!D28/'Input Global'!D$30</f>
        <v>0</v>
      </c>
      <c r="E163" s="100">
        <f>'Input Global'!E28/'Input Global'!E$30</f>
        <v>0</v>
      </c>
      <c r="F163" s="100">
        <f>'Input Global'!F28/'Input Global'!F$30</f>
        <v>0</v>
      </c>
      <c r="G163" s="100">
        <f>'Input Global'!G28/'Input Global'!G$30</f>
        <v>0</v>
      </c>
      <c r="H163" s="100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37</v>
      </c>
      <c r="C164" s="17" t="s">
        <v>23</v>
      </c>
      <c r="D164" s="100">
        <f>'Input Global'!D29/'Input Global'!D$30</f>
        <v>0</v>
      </c>
      <c r="E164" s="100">
        <f>'Input Global'!E29/'Input Global'!E$30</f>
        <v>0</v>
      </c>
      <c r="F164" s="100">
        <f>'Input Global'!F29/'Input Global'!F$30</f>
        <v>0</v>
      </c>
      <c r="G164" s="100">
        <f>'Input Global'!G29/'Input Global'!G$30</f>
        <v>0</v>
      </c>
      <c r="H164" s="100">
        <f>'Input Global'!H29/'Input Global'!H$30</f>
        <v>0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5"/>
  <sheetViews>
    <sheetView zoomScaleNormal="100" workbookViewId="0">
      <pane xSplit="3" ySplit="4" topLeftCell="D147" activePane="bottomRight" state="frozenSplit"/>
      <selection activeCell="K17" sqref="K17"/>
      <selection pane="topRight" activeCell="K17" sqref="K17"/>
      <selection pane="bottomLeft" activeCell="K17" sqref="K17"/>
      <selection pane="bottomRight" activeCell="G175" sqref="G175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89" bestFit="1" customWidth="1"/>
    <col min="5" max="5" width="11.5703125" style="89" bestFit="1" customWidth="1"/>
    <col min="6" max="6" width="12.7109375" style="89" bestFit="1" customWidth="1"/>
    <col min="7" max="7" width="10.42578125" style="89" bestFit="1" customWidth="1"/>
    <col min="8" max="8" width="12" style="89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ACT</v>
      </c>
      <c r="C1" s="5"/>
      <c r="D1" s="91"/>
      <c r="E1" s="91"/>
      <c r="F1" s="91"/>
      <c r="G1" s="90"/>
      <c r="H1" s="90"/>
      <c r="I1" s="72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Planning Case)</v>
      </c>
      <c r="C2" s="3"/>
      <c r="D2" s="92"/>
      <c r="E2" s="92"/>
      <c r="F2" s="92"/>
      <c r="G2" s="90"/>
      <c r="H2" s="90"/>
      <c r="I2" s="78" t="s">
        <v>25</v>
      </c>
    </row>
    <row r="3" spans="1:16" s="2" customFormat="1" ht="17.25" thickBot="1" x14ac:dyDescent="0.35">
      <c r="D3" s="90"/>
      <c r="E3" s="90"/>
      <c r="F3" s="90"/>
      <c r="G3" s="90"/>
      <c r="H3" s="90"/>
      <c r="I3" s="79" t="s">
        <v>32</v>
      </c>
    </row>
    <row r="4" spans="1:16" s="2" customFormat="1" ht="15" x14ac:dyDescent="0.25">
      <c r="B4" s="6"/>
      <c r="C4" s="6" t="s">
        <v>8</v>
      </c>
      <c r="D4" s="93" t="str">
        <f>'Input Global'!D4</f>
        <v>2010/11</v>
      </c>
      <c r="E4" s="93" t="str">
        <f>'Input Global'!E4</f>
        <v>2011/12</v>
      </c>
      <c r="F4" s="93" t="str">
        <f>'Input Global'!F4</f>
        <v>2012/13</v>
      </c>
      <c r="G4" s="93" t="str">
        <f>'Input Global'!G4</f>
        <v>2013/14</v>
      </c>
      <c r="H4" s="93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ActewAGL</v>
      </c>
    </row>
    <row r="8" spans="1:16" x14ac:dyDescent="0.3">
      <c r="A8" t="str">
        <f>'Calc (Jurisdiction)'!A8</f>
        <v>Wholesale</v>
      </c>
      <c r="C8" t="s">
        <v>57</v>
      </c>
      <c r="D8" s="99">
        <f ca="1">VLOOKUP($B$2,dist1wholesale,COLUMN('Calc (Jurisdiction)'!D8),FALSE)*'Input Global'!D18</f>
        <v>52159.420844799999</v>
      </c>
      <c r="E8" s="99">
        <f ca="1">VLOOKUP($B$2,dist1wholesale,COLUMN('Calc (Jurisdiction)'!E8),FALSE)*'Input Global'!E18</f>
        <v>48555.799904</v>
      </c>
      <c r="F8" s="99">
        <f ca="1">VLOOKUP($B$2,dist1wholesale,COLUMN('Calc (Jurisdiction)'!F8),FALSE)*'Input Global'!F18</f>
        <v>44237.736200000007</v>
      </c>
      <c r="G8" s="99">
        <f ca="1">VLOOKUP($B$2,dist1wholesale,COLUMN('Calc (Jurisdiction)'!G8),FALSE)*'Input Global'!G18</f>
        <v>40462.240522986336</v>
      </c>
      <c r="H8" s="99">
        <f ca="1">VLOOKUP($B$2,dist1wholesale,COLUMN('Calc (Jurisdiction)'!H8),FALSE)*'Input Global'!H18</f>
        <v>42080.644591097982</v>
      </c>
    </row>
    <row r="9" spans="1:16" x14ac:dyDescent="0.3">
      <c r="A9" t="str">
        <f>'Calc (Jurisdiction)'!A9</f>
        <v>Transmission</v>
      </c>
      <c r="C9" t="s">
        <v>57</v>
      </c>
      <c r="D9" s="99">
        <f>'Input General'!D8+(SUMPRODUCT('Input General'!D9:D12,'Input General'!D35:D38)*'Input Global'!D18)</f>
        <v>9371.2440000000006</v>
      </c>
      <c r="E9" s="99">
        <f>'Input General'!E8+(SUMPRODUCT('Input General'!E9:E12,'Input General'!E35:E38)*'Input Global'!E18)</f>
        <v>11230.812</v>
      </c>
      <c r="F9" s="99">
        <f>'Input General'!F8+(SUMPRODUCT('Input General'!F9:F12,'Input General'!F35:F38)*'Input Global'!F18)</f>
        <v>13481.868</v>
      </c>
      <c r="G9" s="99">
        <f>'Input General'!G8+(SUMPRODUCT('Input General'!G9:G12,'Input General'!G35:G38)*'Input Global'!G18)</f>
        <v>14421.102583666005</v>
      </c>
      <c r="H9" s="99">
        <f>'Input General'!H8+(SUMPRODUCT('Input General'!H9:H12,'Input General'!H35:H38)*'Input Global'!H18)</f>
        <v>15425.770355311175</v>
      </c>
    </row>
    <row r="10" spans="1:16" x14ac:dyDescent="0.3">
      <c r="A10" t="str">
        <f>'Calc (Jurisdiction)'!A10</f>
        <v>Distribution</v>
      </c>
      <c r="C10" t="s">
        <v>57</v>
      </c>
      <c r="D10" s="99">
        <f>'Input General'!D16+SUMPRODUCT('Input General'!D17:D20,'Input General'!D35:D38)*'Input Global'!D18+'Input General'!D23</f>
        <v>48123.356</v>
      </c>
      <c r="E10" s="99">
        <f>'Input General'!E16+SUMPRODUCT('Input General'!E17:E20,'Input General'!E35:E38)*'Input Global'!E18+'Input General'!E23</f>
        <v>47748.006841843089</v>
      </c>
      <c r="F10" s="99">
        <f>'Input General'!F16+SUMPRODUCT('Input General'!F17:F20,'Input General'!F35:F38)*'Input Global'!F18+'Input General'!F23</f>
        <v>49764.360297109823</v>
      </c>
      <c r="G10" s="99">
        <f>'Input General'!G16+SUMPRODUCT('Input General'!G17:G20,'Input General'!G35:G38)*'Input Global'!G18+'Input General'!G23</f>
        <v>53122.695849794043</v>
      </c>
      <c r="H10" s="99">
        <f>'Input General'!H16+SUMPRODUCT('Input General'!H17:H20,'Input General'!H35:H38)*'Input Global'!H18+'Input General'!H23</f>
        <v>57132.021704274601</v>
      </c>
      <c r="P10" s="9"/>
    </row>
    <row r="11" spans="1:16" x14ac:dyDescent="0.3">
      <c r="A11" t="str">
        <f>'Calc (Jurisdiction)'!A11</f>
        <v>Retail</v>
      </c>
      <c r="C11" t="s">
        <v>57</v>
      </c>
      <c r="D11" s="99">
        <f>'Input General'!D42*'Input Global'!D18</f>
        <v>8612.7360000000008</v>
      </c>
      <c r="E11" s="99">
        <f>'Input General'!E42*'Input Global'!E18</f>
        <v>8857.4160000000011</v>
      </c>
      <c r="F11" s="99">
        <f>'Input General'!F42*'Input Global'!F18</f>
        <v>9078.8513999999996</v>
      </c>
      <c r="G11" s="99">
        <f>'Input General'!G42*'Input Global'!G18</f>
        <v>9305.8226849999974</v>
      </c>
      <c r="H11" s="99">
        <f>'Input General'!H42*'Input Global'!H18</f>
        <v>9538.4682521249961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99">
        <f ca="1">VLOOKUP($B$2,'Input General'!$A$59:$H$561,COLUMN(D12),FALSE)*'Input Global'!D33</f>
        <v>6659.4677496191998</v>
      </c>
      <c r="E12" s="99">
        <f ca="1">VLOOKUP($B$2,'Input General'!$A$59:$H$561,COLUMN(E12),FALSE)*'Input Global'!E33</f>
        <v>7059.7676468159998</v>
      </c>
      <c r="F12" s="99">
        <f ca="1">VLOOKUP($B$2,'Input General'!$A$59:$H$561,COLUMN(F12),FALSE)*'Input Global'!F33</f>
        <v>7965.0234143999996</v>
      </c>
      <c r="G12" s="99">
        <f ca="1">VLOOKUP($B$2,'Input General'!$A$59:$H$561,COLUMN(G12),FALSE)*'Input Global'!G33</f>
        <v>8077.9351630586016</v>
      </c>
      <c r="H12" s="99">
        <f ca="1">VLOOKUP($B$2,'Input General'!$A$59:$H$561,COLUMN(H12),FALSE)*'Input Global'!H33</f>
        <v>8452.3522308903721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95"/>
      <c r="E13" s="95"/>
      <c r="F13" s="95"/>
      <c r="G13" s="95"/>
      <c r="H13" s="95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99">
        <f>'Input General'!D27+SUMPRODUCT('Input General'!D28:D31,'Input General'!D35:D38)*'Input Global'!D18</f>
        <v>0</v>
      </c>
      <c r="E14" s="99">
        <f>'Input General'!E27+SUMPRODUCT('Input General'!E28:E31,'Input General'!E35:E38)*'Input Global'!E18</f>
        <v>2705.7911581569115</v>
      </c>
      <c r="F14" s="99">
        <f>'Input General'!F27+SUMPRODUCT('Input General'!F28:F31,'Input General'!F35:F38)*'Input Global'!F18</f>
        <v>3362.1817028901728</v>
      </c>
      <c r="G14" s="99">
        <f>'Input General'!G27+SUMPRODUCT('Input General'!G28:G31,'Input General'!G35:G38)*'Input Global'!G18</f>
        <v>4019.9333354609507</v>
      </c>
      <c r="H14" s="99">
        <f>'Input General'!H27+SUMPRODUCT('Input General'!H28:H31,'Input General'!H35:H38)*'Input Global'!H18</f>
        <v>4343.3470221321231</v>
      </c>
    </row>
    <row r="15" spans="1:16" x14ac:dyDescent="0.3">
      <c r="A15" s="11" t="str">
        <f>'Calc (Jurisdiction)'!A15</f>
        <v>Carbon costs</v>
      </c>
      <c r="C15" t="s">
        <v>57</v>
      </c>
      <c r="D15" s="99">
        <f ca="1">VLOOKUP($B$2,'Input General'!$A$66:$H$68, COLUMN('Input General'!D66),FALSE)*'Input Global'!D$18</f>
        <v>0</v>
      </c>
      <c r="E15" s="99">
        <f ca="1">VLOOKUP($B$2,'Input General'!$A$66:$H$68, COLUMN('Input General'!E66),FALSE)*'Input Global'!E$18</f>
        <v>0</v>
      </c>
      <c r="F15" s="99">
        <f ca="1">VLOOKUP($B$2,'Input General'!$A$66:$H$68, COLUMN('Input General'!F66),FALSE)*'Input Global'!F$18</f>
        <v>17274.407999999999</v>
      </c>
      <c r="G15" s="99">
        <f ca="1">VLOOKUP($B$2,'Input General'!$A$66:$H$68, COLUMN('Input General'!G66),FALSE)*'Input Global'!G$18</f>
        <v>19375.617858324636</v>
      </c>
      <c r="H15" s="99">
        <f ca="1">VLOOKUP($B$2,'Input General'!$A$66:$H$68, COLUMN('Input General'!H66),FALSE)*'Input Global'!H$18</f>
        <v>18548.404357506064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99">
        <f ca="1">VLOOKUP($B$2,'Input General'!$A77:$H80,COLUMN(D16),FALSE)*'Input Global'!D18</f>
        <v>1587.4438748913988</v>
      </c>
      <c r="E16" s="99">
        <f ca="1">VLOOKUP($B$2,'Input General'!$A77:$H80,COLUMN(E16),FALSE)*'Input Global'!E18</f>
        <v>4050.2936924413557</v>
      </c>
      <c r="F16" s="99">
        <f ca="1">VLOOKUP($B$2,'Input General'!$A77:$H80,COLUMN(F16),FALSE)*'Input Global'!F18</f>
        <v>3547.8599999999997</v>
      </c>
      <c r="G16" s="99">
        <f ca="1">VLOOKUP($B$2,'Input General'!$A77:$H80,COLUMN(G16),FALSE)*'Input Global'!G18</f>
        <v>3801.7325829785041</v>
      </c>
      <c r="H16" s="99">
        <f ca="1">VLOOKUP($B$2,'Input General'!$A77:$H80,COLUMN(H16),FALSE)*'Input Global'!H18</f>
        <v>4025.8696698361773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99">
        <f ca="1">'Input General'!D43*'Input Global'!D18</f>
        <v>2612.8961251086021</v>
      </c>
      <c r="E17" s="99">
        <f ca="1">'Input General'!E43*'Input Global'!E18</f>
        <v>6666.6903075586461</v>
      </c>
      <c r="F17" s="99">
        <f ca="1">'Input General'!F43*'Input Global'!F18</f>
        <v>5839.6959999999999</v>
      </c>
      <c r="G17" s="99">
        <f ca="1">'Input General'!G43*'Input Global'!G18</f>
        <v>2570.1984902821314</v>
      </c>
      <c r="H17" s="99">
        <f ca="1">'Input General'!H43*'Input Global'!H18</f>
        <v>2233.3633605015671</v>
      </c>
      <c r="I17" s="10"/>
    </row>
    <row r="18" spans="1:9" x14ac:dyDescent="0.3">
      <c r="A18" s="11" t="str">
        <f>'Calc (Jurisdiction)'!A18</f>
        <v>Greenhouse gas abatement scheme</v>
      </c>
      <c r="C18" t="s">
        <v>57</v>
      </c>
      <c r="D18" s="99">
        <f ca="1">VLOOKUP($B$2,'Input General'!$A$47:$H$49,COLUMN(D18),FALSE)*'Input Global'!D$18</f>
        <v>856.38</v>
      </c>
      <c r="E18" s="99">
        <f ca="1">VLOOKUP($B$2,'Input General'!$A$47:$H$49,COLUMN(E18),FALSE)*'Input Global'!E$18</f>
        <v>921.62799999999993</v>
      </c>
      <c r="F18" s="99">
        <f ca="1">VLOOKUP($B$2,'Input General'!$A$47:$H$49,COLUMN(F18),FALSE)*'Input Global'!F$18</f>
        <v>0</v>
      </c>
      <c r="G18" s="99">
        <f ca="1">VLOOKUP($B$2,'Input General'!$A$47:$H$49,COLUMN(G18),FALSE)*'Input Global'!G$18</f>
        <v>0</v>
      </c>
      <c r="H18" s="99">
        <f ca="1">VLOOKUP($B$2,'Input General'!$A$47:$H$49,COLUMN(H18),FALSE)*'Input Global'!H$18</f>
        <v>0</v>
      </c>
      <c r="I18" s="10"/>
    </row>
    <row r="19" spans="1:9" x14ac:dyDescent="0.3">
      <c r="A19" s="11" t="str">
        <f>'Calc (Jurisdiction)'!A19</f>
        <v>Energy Savings</v>
      </c>
      <c r="C19" t="s">
        <v>57</v>
      </c>
      <c r="D19" s="99">
        <f ca="1">VLOOKUP($B$2,'Input General'!$A$53:$H$55,COLUMN(D19),FALSE)*'Input Global'!D$18</f>
        <v>0</v>
      </c>
      <c r="E19" s="99">
        <f ca="1">VLOOKUP($B$2,'Input General'!$A$53:$H$55,COLUMN(E19),FALSE)*'Input Global'!E$18</f>
        <v>0</v>
      </c>
      <c r="F19" s="99">
        <f ca="1">VLOOKUP($B$2,'Input General'!$A$53:$H$55,COLUMN(F19),FALSE)*'Input Global'!F$18</f>
        <v>913.47200000000009</v>
      </c>
      <c r="G19" s="99">
        <f ca="1">VLOOKUP($B$2,'Input General'!$A$53:$H$55,COLUMN(G19),FALSE)*'Input Global'!G$18</f>
        <v>2512.0479999999998</v>
      </c>
      <c r="H19" s="99">
        <f ca="1">VLOOKUP($B$2,'Input General'!$A$53:$H$55,COLUMN(H19),FALSE)*'Input Global'!H$18</f>
        <v>3197.1520000000005</v>
      </c>
      <c r="I19" s="10"/>
    </row>
    <row r="20" spans="1:9" x14ac:dyDescent="0.3">
      <c r="A20" s="15" t="s">
        <v>55</v>
      </c>
      <c r="B20" s="12"/>
      <c r="C20" s="12" t="s">
        <v>57</v>
      </c>
      <c r="D20" s="99">
        <f ca="1">SUM(D8:D19)</f>
        <v>129982.9445944192</v>
      </c>
      <c r="E20" s="99">
        <f t="shared" ref="E20:H20" ca="1" si="0">SUM(E8:E19)</f>
        <v>137796.205550816</v>
      </c>
      <c r="F20" s="99">
        <f t="shared" ca="1" si="0"/>
        <v>155465.45701439999</v>
      </c>
      <c r="G20" s="99">
        <f t="shared" ca="1" si="0"/>
        <v>157669.3270715512</v>
      </c>
      <c r="H20" s="99">
        <f t="shared" ca="1" si="0"/>
        <v>164977.39354367505</v>
      </c>
    </row>
    <row r="21" spans="1:9" hidden="1" x14ac:dyDescent="0.3">
      <c r="D21" s="94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99">
        <f>IF(LEFT($A$22,5)="blank",0,VLOOKUP($B$2,dist2wholesale,COLUMN(D8),FALSE)*'Input Global'!D19)</f>
        <v>0</v>
      </c>
      <c r="E23" s="99">
        <f>IF(LEFT($A$22,5)="blank",0,VLOOKUP($B$2,dist2wholesale,COLUMN(E8),FALSE)*'Input Global'!E19)</f>
        <v>0</v>
      </c>
      <c r="F23" s="99">
        <f>IF(LEFT($A$22,5)="blank",0,VLOOKUP($B$2,dist2wholesale,COLUMN(F8),FALSE)*'Input Global'!F19)</f>
        <v>0</v>
      </c>
      <c r="G23" s="99">
        <f>IF(LEFT($A$22,5)="blank",0,VLOOKUP($B$2,dist2wholesale,COLUMN(G8),FALSE)*'Input Global'!G19)</f>
        <v>0</v>
      </c>
      <c r="H23" s="99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99">
        <f>IF(LEFT($A$22,5)="blank",0,'Input General'!#REF!+(SUMPRODUCT('Input General'!#REF!,'Input General'!#REF!)*'Input Global'!D19))</f>
        <v>0</v>
      </c>
      <c r="E24" s="99">
        <f>IF(LEFT($A$22,5)="blank",0,'Input General'!#REF!+(SUMPRODUCT('Input General'!#REF!,'Input General'!#REF!)*'Input Global'!E19))</f>
        <v>0</v>
      </c>
      <c r="F24" s="99">
        <f>IF(LEFT($A$22,5)="blank",0,'Input General'!#REF!+(SUMPRODUCT('Input General'!#REF!,'Input General'!#REF!)*'Input Global'!F19))</f>
        <v>0</v>
      </c>
      <c r="G24" s="99">
        <f>IF(LEFT($A$22,5)="blank",0,'Input General'!#REF!+(SUMPRODUCT('Input General'!#REF!,'Input General'!#REF!)*'Input Global'!G19))</f>
        <v>0</v>
      </c>
      <c r="H24" s="99">
        <f>IF(LEFT($A$22,5)="blank",0,'Input General'!#REF!+(SUMPRODUCT('Input General'!#REF!,'Input General'!#REF!)*'Input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99">
        <f>IF(LEFT($A$22,5)="blank",0,'Input General'!#REF!+SUMPRODUCT('Input General'!#REF!,'Input General'!#REF!)*'Input Global'!D19+'Input General'!#REF!)</f>
        <v>0</v>
      </c>
      <c r="E25" s="99">
        <f>IF(LEFT($A$22,5)="blank",0,'Input General'!#REF!+SUMPRODUCT('Input General'!#REF!,'Input General'!#REF!)*'Input Global'!E19+'Input General'!#REF!)</f>
        <v>0</v>
      </c>
      <c r="F25" s="99">
        <f>IF(LEFT($A$22,5)="blank",0,'Input General'!#REF!+SUMPRODUCT('Input General'!#REF!,'Input General'!#REF!)*'Input Global'!F19+'Input General'!#REF!)</f>
        <v>0</v>
      </c>
      <c r="G25" s="99">
        <f>IF(LEFT($A$22,5)="blank",0,'Input General'!#REF!+SUMPRODUCT('Input General'!#REF!,'Input General'!#REF!)*'Input Global'!G19+'Input General'!#REF!)</f>
        <v>0</v>
      </c>
      <c r="H25" s="99">
        <f>IF(LEFT($A$22,5)="blank",0,'Input General'!#REF!+SUMPRODUCT('Input General'!#REF!,'Input General'!#REF!)*'Input Global'!H19+'Input General'!#REF!)</f>
        <v>0</v>
      </c>
    </row>
    <row r="26" spans="1:9" hidden="1" x14ac:dyDescent="0.3">
      <c r="A26" t="str">
        <f t="shared" si="1"/>
        <v>Retail</v>
      </c>
      <c r="C26" t="s">
        <v>57</v>
      </c>
      <c r="D26" s="99">
        <f>IF(LEFT($A$22,5)="blank",0,'Input General'!#REF!*'Input Global'!D19)</f>
        <v>0</v>
      </c>
      <c r="E26" s="99">
        <f>IF(LEFT($A$22,5)="blank",0,'Input General'!#REF!*'Input Global'!E19)</f>
        <v>0</v>
      </c>
      <c r="F26" s="99">
        <f>IF(LEFT($A$22,5)="blank",0,'Input General'!#REF!*'Input Global'!F19)</f>
        <v>0</v>
      </c>
      <c r="G26" s="99">
        <f>IF(LEFT($A$22,5)="blank",0,'Input General'!#REF!*'Input Global'!G19)</f>
        <v>0</v>
      </c>
      <c r="H26" s="99">
        <f>IF(LEFT($A$22,5)="blank",0,'Input General'!#REF!*'Input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99">
        <f>IF(LEFT($A$22,5)="blank",0,VLOOKUP($B$2,'Input General'!#REF!,COLUMN(D12),FALSE)*'Input Global'!D$34)</f>
        <v>0</v>
      </c>
      <c r="E27" s="99">
        <f>IF(LEFT($A$22,5)="blank",0,VLOOKUP($B$2,'Input General'!#REF!,COLUMN(E12),FALSE)*'Input Global'!E$34)</f>
        <v>0</v>
      </c>
      <c r="F27" s="99">
        <f>IF(LEFT($A$22,5)="blank",0,VLOOKUP($B$2,'Input General'!#REF!,COLUMN(F12),FALSE)*'Input Global'!F$34)</f>
        <v>0</v>
      </c>
      <c r="G27" s="99">
        <f>IF(LEFT($A$22,5)="blank",0,VLOOKUP($B$2,'Input General'!#REF!,COLUMN(G12),FALSE)*'Input Global'!G$34)</f>
        <v>0</v>
      </c>
      <c r="H27" s="99">
        <f>IF(LEFT($A$22,5)="blank",0,VLOOKUP($B$2,'Input General'!#REF!,COLUMN(H12),FALSE)*'Input Global'!H$34)</f>
        <v>0</v>
      </c>
    </row>
    <row r="28" spans="1:9" hidden="1" x14ac:dyDescent="0.3">
      <c r="A28" t="str">
        <f t="shared" si="1"/>
        <v>Green Schemes</v>
      </c>
      <c r="D28" s="95"/>
      <c r="E28" s="95"/>
      <c r="F28" s="95"/>
      <c r="G28" s="95"/>
      <c r="H28" s="95"/>
    </row>
    <row r="29" spans="1:9" hidden="1" x14ac:dyDescent="0.3">
      <c r="A29" s="11" t="str">
        <f t="shared" si="1"/>
        <v>Feed-in Tariffs</v>
      </c>
      <c r="C29" t="s">
        <v>57</v>
      </c>
      <c r="D29" s="99">
        <f>IF(LEFT($A$22,5)="blank",0,'Input General'!#REF!+SUMPRODUCT('Input General'!#REF!,'Input General'!#REF!)*'Input Global'!D19)</f>
        <v>0</v>
      </c>
      <c r="E29" s="99">
        <f>IF(LEFT($A$22,5)="blank",0,'Input General'!#REF!+SUMPRODUCT('Input General'!#REF!,'Input General'!#REF!)*'Input Global'!E19)</f>
        <v>0</v>
      </c>
      <c r="F29" s="99">
        <f>IF(LEFT($A$22,5)="blank",0,'Input General'!#REF!+SUMPRODUCT('Input General'!#REF!,'Input General'!#REF!)*'Input Global'!F19)</f>
        <v>0</v>
      </c>
      <c r="G29" s="99">
        <f>IF(LEFT($A$22,5)="blank",0,'Input General'!#REF!+SUMPRODUCT('Input General'!#REF!,'Input General'!#REF!)*'Input Global'!G19)</f>
        <v>0</v>
      </c>
      <c r="H29" s="99">
        <f>IF(LEFT($A$22,5)="blank",0,'Input General'!#REF!+SUMPRODUCT('Input General'!#REF!,'Input General'!#REF!)*'Input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99">
        <f>IF(LEFT($A$22,5)="blank",0,VLOOKUP($B$2,'Input General'!#REF!,COLUMN('Input General'!#REF!),FALSE)*'Input Global'!D$19)</f>
        <v>0</v>
      </c>
      <c r="E30" s="99">
        <f>IF(LEFT($A$22,5)="blank",0,VLOOKUP($B$2,'Input General'!#REF!,COLUMN('Input General'!#REF!),FALSE)*'Input Global'!E$19)</f>
        <v>0</v>
      </c>
      <c r="F30" s="99">
        <f>IF(LEFT($A$22,5)="blank",0,VLOOKUP($B$2,'Input General'!#REF!,COLUMN('Input General'!#REF!),FALSE)*'Input Global'!F$19)</f>
        <v>0</v>
      </c>
      <c r="G30" s="99">
        <f>IF(LEFT($A$22,5)="blank",0,VLOOKUP($B$2,'Input General'!#REF!,COLUMN('Input General'!#REF!),FALSE)*'Input Global'!G$19)</f>
        <v>0</v>
      </c>
      <c r="H30" s="99">
        <f>IF(LEFT($A$22,5)="blank",0,VLOOKUP($B$2,'Input General'!#REF!,COLUMN('Input General'!#REF!),FALSE)*'Input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99">
        <f>IF(LEFT($A$22,5)="blank",0,VLOOKUP($B$2,'Input General'!#REF!,COLUMN(D16),FALSE)*'Input Global'!D19)</f>
        <v>0</v>
      </c>
      <c r="E31" s="99">
        <f>IF(LEFT($A$22,5)="blank",0,VLOOKUP($B$2,'Input General'!#REF!,COLUMN(E16),FALSE)*'Input Global'!E19)</f>
        <v>0</v>
      </c>
      <c r="F31" s="99">
        <f>IF(LEFT($A$22,5)="blank",0,VLOOKUP($B$2,'Input General'!#REF!,COLUMN(F16),FALSE)*'Input Global'!F19)</f>
        <v>0</v>
      </c>
      <c r="G31" s="99">
        <f>IF(LEFT($A$22,5)="blank",0,VLOOKUP($B$2,'Input General'!#REF!,COLUMN(G16),FALSE)*'Input Global'!G19)</f>
        <v>0</v>
      </c>
      <c r="H31" s="99">
        <f>IF(LEFT($A$22,5)="blank",0,VLOOKUP($B$2,'Input General'!#REF!,COLUMN(H16),FALSE)*'Input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99">
        <f>IF(LEFT($A$22,5)="blank",0,'Input General'!#REF!*'Input Global'!D$19)</f>
        <v>0</v>
      </c>
      <c r="E32" s="99">
        <f>IF(LEFT($A$22,5)="blank",0,'Input General'!#REF!*'Input Global'!E$19)</f>
        <v>0</v>
      </c>
      <c r="F32" s="99">
        <f>IF(LEFT($A$22,5)="blank",0,'Input General'!#REF!*'Input Global'!F$19)</f>
        <v>0</v>
      </c>
      <c r="G32" s="99">
        <f>IF(LEFT($A$22,5)="blank",0,'Input General'!#REF!*'Input Global'!G$19)</f>
        <v>0</v>
      </c>
      <c r="H32" s="99">
        <f>IF(LEFT($A$22,5)="blank",0,'Input General'!#REF!*'Input Global'!H$19)</f>
        <v>0</v>
      </c>
      <c r="I32" s="10"/>
    </row>
    <row r="33" spans="1:9" hidden="1" x14ac:dyDescent="0.3">
      <c r="A33" s="11" t="str">
        <f t="shared" si="1"/>
        <v>Greenhouse gas abatement scheme</v>
      </c>
      <c r="C33" t="s">
        <v>57</v>
      </c>
      <c r="D33" s="99">
        <f>IF(LEFT($A$22,5)="blank",0,VLOOKUP($B$2,'Input General'!#REF!,COLUMN(D33),FALSE)*'Input Global'!D$19)</f>
        <v>0</v>
      </c>
      <c r="E33" s="99">
        <f>IF(LEFT($A$22,5)="blank",0,VLOOKUP($B$2,'Input General'!#REF!,COLUMN(E33),FALSE)*'Input Global'!E$19)</f>
        <v>0</v>
      </c>
      <c r="F33" s="99">
        <f>IF(LEFT($A$22,5)="blank",0,VLOOKUP($B$2,'Input General'!#REF!,COLUMN(F33),FALSE)*'Input Global'!F$19)</f>
        <v>0</v>
      </c>
      <c r="G33" s="99">
        <f>IF(LEFT($A$22,5)="blank",0,VLOOKUP($B$2,'Input General'!#REF!,COLUMN(G33),FALSE)*'Input Global'!G$19)</f>
        <v>0</v>
      </c>
      <c r="H33" s="99">
        <f>IF(LEFT($A$22,5)="blank",0,VLOOKUP($B$2,'Input General'!#REF!,COLUMN(H33),FALSE)*'Input Global'!H$19)</f>
        <v>0</v>
      </c>
      <c r="I33" s="10"/>
    </row>
    <row r="34" spans="1:9" hidden="1" x14ac:dyDescent="0.3">
      <c r="A34" s="11" t="str">
        <f t="shared" si="1"/>
        <v>Energy Savings</v>
      </c>
      <c r="C34" t="s">
        <v>57</v>
      </c>
      <c r="D34" s="99">
        <f>IF(LEFT($A$22,5)="blank",0,VLOOKUP($B$2,'Input General'!#REF!,COLUMN(D34),FALSE)*'Input Global'!D$19)</f>
        <v>0</v>
      </c>
      <c r="E34" s="99">
        <f>IF(LEFT($A$22,5)="blank",0,VLOOKUP($B$2,'Input General'!#REF!,COLUMN(E34),FALSE)*'Input Global'!E$19)</f>
        <v>0</v>
      </c>
      <c r="F34" s="99">
        <f>IF(LEFT($A$22,5)="blank",0,VLOOKUP($B$2,'Input General'!#REF!,COLUMN(F34),FALSE)*'Input Global'!F$19)</f>
        <v>0</v>
      </c>
      <c r="G34" s="99">
        <f>IF(LEFT($A$22,5)="blank",0,VLOOKUP($B$2,'Input General'!#REF!,COLUMN(G34),FALSE)*'Input Global'!G$19)</f>
        <v>0</v>
      </c>
      <c r="H34" s="99">
        <f>IF(LEFT($A$22,5)="blank",0,VLOOKUP($B$2,'Input General'!#REF!,COLUMN(H34),FALSE)*'Input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99">
        <f>SUM(D23:D34)</f>
        <v>0</v>
      </c>
      <c r="E35" s="99">
        <f t="shared" ref="E35:H35" si="2">SUM(E23:E34)</f>
        <v>0</v>
      </c>
      <c r="F35" s="99">
        <f t="shared" si="2"/>
        <v>0</v>
      </c>
      <c r="G35" s="99">
        <f t="shared" si="2"/>
        <v>0</v>
      </c>
      <c r="H35" s="99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99">
        <f>IF(LEFT($A$37,5)="blank",0,VLOOKUP($B$2,dist3wholesale,COLUMN(D38),FALSE)*'Input Global'!D20)</f>
        <v>0</v>
      </c>
      <c r="E38" s="99">
        <f>IF(LEFT($A$37,5)="blank",0,VLOOKUP($B$2,dist3wholesale,COLUMN(E38),FALSE)*'Input Global'!E20)</f>
        <v>0</v>
      </c>
      <c r="F38" s="99">
        <f>IF(LEFT($A$37,5)="blank",0,VLOOKUP($B$2,dist3wholesale,COLUMN(F38),FALSE)*'Input Global'!F20)</f>
        <v>0</v>
      </c>
      <c r="G38" s="99">
        <f>IF(LEFT($A$37,5)="blank",0,VLOOKUP($B$2,dist3wholesale,COLUMN(G38),FALSE)*'Input Global'!G20)</f>
        <v>0</v>
      </c>
      <c r="H38" s="99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99">
        <f>IF(LEFT($A$37,5)="blank",0,'Input General'!#REF!+(SUMPRODUCT('Input General'!#REF!,'Input General'!#REF!)*'Input Global'!D$20))</f>
        <v>0</v>
      </c>
      <c r="E39" s="99">
        <f>IF(LEFT($A$37,5)="blank",0,'Input General'!#REF!+(SUMPRODUCT('Input General'!#REF!,'Input General'!#REF!)*'Input Global'!E$20))</f>
        <v>0</v>
      </c>
      <c r="F39" s="99">
        <f>IF(LEFT($A$37,5)="blank",0,'Input General'!#REF!+(SUMPRODUCT('Input General'!#REF!,'Input General'!#REF!)*'Input Global'!F$20))</f>
        <v>0</v>
      </c>
      <c r="G39" s="99">
        <f>IF(LEFT($A$37,5)="blank",0,'Input General'!#REF!+(SUMPRODUCT('Input General'!#REF!,'Input General'!#REF!)*'Input Global'!G$20))</f>
        <v>0</v>
      </c>
      <c r="H39" s="99">
        <f>IF(LEFT($A$37,5)="blank",0,'Input General'!#REF!+(SUMPRODUCT('Input General'!#REF!,'Input General'!#REF!)*'Input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99">
        <f>IF(LEFT($A$37,5)="blank",0,'Input General'!#REF!+SUMPRODUCT('Input General'!#REF!,'Input General'!#REF!)*'Input Global'!D$20+'Input General'!#REF!)</f>
        <v>0</v>
      </c>
      <c r="E40" s="99">
        <f>IF(LEFT($A$37,5)="blank",0,'Input General'!#REF!+SUMPRODUCT('Input General'!#REF!,'Input General'!#REF!)*'Input Global'!E$20+'Input General'!#REF!)</f>
        <v>0</v>
      </c>
      <c r="F40" s="99">
        <f>IF(LEFT($A$37,5)="blank",0,'Input General'!#REF!+SUMPRODUCT('Input General'!#REF!,'Input General'!#REF!)*'Input Global'!F$20+'Input General'!#REF!)</f>
        <v>0</v>
      </c>
      <c r="G40" s="99">
        <f>IF(LEFT($A$37,5)="blank",0,'Input General'!#REF!+SUMPRODUCT('Input General'!#REF!,'Input General'!#REF!)*'Input Global'!G$20+'Input General'!#REF!)</f>
        <v>0</v>
      </c>
      <c r="H40" s="99">
        <f>IF(LEFT($A$37,5)="blank",0,'Input General'!#REF!+SUMPRODUCT('Input General'!#REF!,'Input General'!#REF!)*'Input Global'!H$20+'Input General'!#REF!)</f>
        <v>0</v>
      </c>
    </row>
    <row r="41" spans="1:9" hidden="1" x14ac:dyDescent="0.3">
      <c r="A41" t="str">
        <f t="shared" si="3"/>
        <v>Retail</v>
      </c>
      <c r="C41" t="s">
        <v>57</v>
      </c>
      <c r="D41" s="99">
        <f>IF(LEFT($A$37,5)="blank",0,'Input General'!#REF!*'Input Global'!D$20)</f>
        <v>0</v>
      </c>
      <c r="E41" s="99">
        <f>IF(LEFT($A$37,5)="blank",0,'Input General'!#REF!*'Input Global'!E$20)</f>
        <v>0</v>
      </c>
      <c r="F41" s="99">
        <f>IF(LEFT($A$37,5)="blank",0,'Input General'!#REF!*'Input Global'!F$20)</f>
        <v>0</v>
      </c>
      <c r="G41" s="99">
        <f>IF(LEFT($A$37,5)="blank",0,'Input General'!#REF!*'Input Global'!G$20)</f>
        <v>0</v>
      </c>
      <c r="H41" s="99">
        <f>IF(LEFT($A$37,5)="blank",0,'Input General'!#REF!*'Input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99">
        <f>IF(LEFT($A$37,5)="blank",0,VLOOKUP($B$2,'Input General'!#REF!,COLUMN(D27),FALSE)*'Input Global'!D$35)</f>
        <v>0</v>
      </c>
      <c r="E42" s="99">
        <f>IF(LEFT($A$37,5)="blank",0,VLOOKUP($B$2,'Input General'!#REF!,COLUMN(E27),FALSE)*'Input Global'!E$35)</f>
        <v>0</v>
      </c>
      <c r="F42" s="99">
        <f>IF(LEFT($A$37,5)="blank",0,VLOOKUP($B$2,'Input General'!#REF!,COLUMN(F27),FALSE)*'Input Global'!F$35)</f>
        <v>0</v>
      </c>
      <c r="G42" s="99">
        <f>IF(LEFT($A$37,5)="blank",0,VLOOKUP($B$2,'Input General'!#REF!,COLUMN(G27),FALSE)*'Input Global'!G$35)</f>
        <v>0</v>
      </c>
      <c r="H42" s="99">
        <f>IF(LEFT($A$37,5)="blank",0,VLOOKUP($B$2,'Input General'!#REF!,COLUMN(H27),FALSE)*'Input Global'!H$35)</f>
        <v>0</v>
      </c>
    </row>
    <row r="43" spans="1:9" hidden="1" x14ac:dyDescent="0.3">
      <c r="A43" t="str">
        <f t="shared" si="3"/>
        <v>Green Schemes</v>
      </c>
      <c r="D43" s="95"/>
      <c r="E43" s="95"/>
      <c r="F43" s="95"/>
      <c r="G43" s="95"/>
      <c r="H43" s="95"/>
    </row>
    <row r="44" spans="1:9" hidden="1" x14ac:dyDescent="0.3">
      <c r="A44" s="11" t="str">
        <f t="shared" si="3"/>
        <v>Feed-in Tariffs</v>
      </c>
      <c r="C44" t="s">
        <v>57</v>
      </c>
      <c r="D44" s="99">
        <f>IF(LEFT($A$37,5)="blank",0,'Input General'!#REF!+SUMPRODUCT('Input General'!#REF!,'Input General'!#REF!)*'Input Global'!D$20)</f>
        <v>0</v>
      </c>
      <c r="E44" s="99">
        <f>IF(LEFT($A$37,5)="blank",0,'Input General'!#REF!+SUMPRODUCT('Input General'!#REF!,'Input General'!#REF!)*'Input Global'!E$20)</f>
        <v>0</v>
      </c>
      <c r="F44" s="99">
        <f>IF(LEFT($A$37,5)="blank",0,'Input General'!#REF!+SUMPRODUCT('Input General'!#REF!,'Input General'!#REF!)*'Input Global'!F$20)</f>
        <v>0</v>
      </c>
      <c r="G44" s="99">
        <f>IF(LEFT($A$37,5)="blank",0,'Input General'!#REF!+SUMPRODUCT('Input General'!#REF!,'Input General'!#REF!)*'Input Global'!G$20)</f>
        <v>0</v>
      </c>
      <c r="H44" s="99">
        <f>IF(LEFT($A$37,5)="blank",0,'Input General'!#REF!+SUMPRODUCT('Input General'!#REF!,'Input General'!#REF!)*'Input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99">
        <f>IF(LEFT($A$37,5)="blank",0,VLOOKUP($B$2,'Input General'!#REF!,COLUMN('Input General'!#REF!),FALSE)*'Input Global'!D$20)</f>
        <v>0</v>
      </c>
      <c r="E45" s="99">
        <f>IF(LEFT($A$37,5)="blank",0,VLOOKUP($B$2,'Input General'!#REF!,COLUMN('Input General'!#REF!),FALSE)*'Input Global'!E$20)</f>
        <v>0</v>
      </c>
      <c r="F45" s="99">
        <f>IF(LEFT($A$37,5)="blank",0,VLOOKUP($B$2,'Input General'!#REF!,COLUMN('Input General'!#REF!),FALSE)*'Input Global'!F$20)</f>
        <v>0</v>
      </c>
      <c r="G45" s="99">
        <f>IF(LEFT($A$37,5)="blank",0,VLOOKUP($B$2,'Input General'!#REF!,COLUMN('Input General'!#REF!),FALSE)*'Input Global'!G$20)</f>
        <v>0</v>
      </c>
      <c r="H45" s="99">
        <f>IF(LEFT($A$37,5)="blank",0,VLOOKUP($B$2,'Input General'!#REF!,COLUMN('Input General'!#REF!),FALSE)*'Input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99">
        <f>IF(LEFT($A$37,5)="blank",0,VLOOKUP($B$2,'Input General'!#REF!,COLUMN(D16),FALSE)*'Input Global'!D20)</f>
        <v>0</v>
      </c>
      <c r="E46" s="99">
        <f>IF(LEFT($A$37,5)="blank",0,VLOOKUP($B$2,'Input General'!#REF!,COLUMN(E16),FALSE)*'Input Global'!E20)</f>
        <v>0</v>
      </c>
      <c r="F46" s="99">
        <f>IF(LEFT($A$37,5)="blank",0,VLOOKUP($B$2,'Input General'!#REF!,COLUMN(F16),FALSE)*'Input Global'!F20)</f>
        <v>0</v>
      </c>
      <c r="G46" s="99">
        <f>IF(LEFT($A$37,5)="blank",0,VLOOKUP($B$2,'Input General'!#REF!,COLUMN(G16),FALSE)*'Input Global'!G20)</f>
        <v>0</v>
      </c>
      <c r="H46" s="99">
        <f>IF(LEFT($A$37,5)="blank",0,VLOOKUP($B$2,'Input General'!#REF!,COLUMN(H16),FALSE)*'Input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99">
        <f>IF(LEFT($A$37,5)="blank",0,'Input General'!#REF!*'Input Global'!D$20)</f>
        <v>0</v>
      </c>
      <c r="E47" s="99">
        <f>IF(LEFT($A$37,5)="blank",0,'Input General'!#REF!*'Input Global'!E$20)</f>
        <v>0</v>
      </c>
      <c r="F47" s="99">
        <f>IF(LEFT($A$37,5)="blank",0,'Input General'!#REF!*'Input Global'!F$20)</f>
        <v>0</v>
      </c>
      <c r="G47" s="99">
        <f>IF(LEFT($A$37,5)="blank",0,'Input General'!#REF!*'Input Global'!G$20)</f>
        <v>0</v>
      </c>
      <c r="H47" s="99">
        <f>IF(LEFT($A$37,5)="blank",0,'Input General'!#REF!*'Input Global'!H$20)</f>
        <v>0</v>
      </c>
    </row>
    <row r="48" spans="1:9" hidden="1" x14ac:dyDescent="0.3">
      <c r="A48" s="11" t="str">
        <f t="shared" si="3"/>
        <v>Greenhouse gas abatement scheme</v>
      </c>
      <c r="C48" t="s">
        <v>57</v>
      </c>
      <c r="D48" s="99">
        <f>IF(LEFT($A$37,5)="blank",0,VLOOKUP($B$2,'Input General'!#REF!,COLUMN(D33),FALSE)*'Input Global'!D$20)</f>
        <v>0</v>
      </c>
      <c r="E48" s="99">
        <f>IF(LEFT($A$37,5)="blank",0,VLOOKUP($B$2,'Input General'!#REF!,COLUMN(E33),FALSE)*'Input Global'!E$20)</f>
        <v>0</v>
      </c>
      <c r="F48" s="99">
        <f>IF(LEFT($A$37,5)="blank",0,VLOOKUP($B$2,'Input General'!#REF!,COLUMN(F33),FALSE)*'Input Global'!F$20)</f>
        <v>0</v>
      </c>
      <c r="G48" s="99">
        <f>IF(LEFT($A$37,5)="blank",0,VLOOKUP($B$2,'Input General'!#REF!,COLUMN(G33),FALSE)*'Input Global'!G$20)</f>
        <v>0</v>
      </c>
      <c r="H48" s="99">
        <f>IF(LEFT($A$37,5)="blank",0,VLOOKUP($B$2,'Input General'!#REF!,COLUMN(H33),FALSE)*'Input Global'!H$20)</f>
        <v>0</v>
      </c>
    </row>
    <row r="49" spans="1:8" hidden="1" x14ac:dyDescent="0.3">
      <c r="A49" t="str">
        <f t="shared" si="3"/>
        <v>Energy Savings</v>
      </c>
      <c r="C49" t="s">
        <v>57</v>
      </c>
      <c r="D49" s="99">
        <f>IF(LEFT($A$37,5)="blank",0,VLOOKUP($B$2,'Input General'!#REF!,COLUMN(D49),FALSE)*'Input Global'!D$20)</f>
        <v>0</v>
      </c>
      <c r="E49" s="99">
        <f>IF(LEFT($A$37,5)="blank",0,VLOOKUP($B$2,'Input General'!#REF!,COLUMN(E49),FALSE)*'Input Global'!E$20)</f>
        <v>0</v>
      </c>
      <c r="F49" s="99">
        <f>IF(LEFT($A$37,5)="blank",0,VLOOKUP($B$2,'Input General'!#REF!,COLUMN(F49),FALSE)*'Input Global'!F$20)</f>
        <v>0</v>
      </c>
      <c r="G49" s="99">
        <f>IF(LEFT($A$37,5)="blank",0,VLOOKUP($B$2,'Input General'!#REF!,COLUMN(G49),FALSE)*'Input Global'!G$20)</f>
        <v>0</v>
      </c>
      <c r="H49" s="99">
        <f>IF(LEFT($A$37,5)="blank",0,VLOOKUP($B$2,'Input General'!#REF!,COLUMN(H49),FALSE)*'Input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99">
        <f>SUM(D38:D49)</f>
        <v>0</v>
      </c>
      <c r="E50" s="99">
        <f t="shared" ref="E50:H50" si="4">SUM(E38:E49)</f>
        <v>0</v>
      </c>
      <c r="F50" s="99">
        <f t="shared" si="4"/>
        <v>0</v>
      </c>
      <c r="G50" s="99">
        <f t="shared" si="4"/>
        <v>0</v>
      </c>
      <c r="H50" s="99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99">
        <f>IF(LEFT($A$52,5)="blank",0,VLOOKUP($B$2,dist4wholesale,COLUMN(D53),FALSE)*'Input Global'!D21)</f>
        <v>0</v>
      </c>
      <c r="E53" s="99">
        <f>IF(LEFT($A$52,5)="blank",0,VLOOKUP($B$2,dist4wholesale,COLUMN(E53),FALSE)*'Input Global'!E21)</f>
        <v>0</v>
      </c>
      <c r="F53" s="99">
        <f>IF(LEFT($A$52,5)="blank",0,VLOOKUP($B$2,dist4wholesale,COLUMN(F53),FALSE)*'Input Global'!F21)</f>
        <v>0</v>
      </c>
      <c r="G53" s="99">
        <f>IF(LEFT($A$52,5)="blank",0,VLOOKUP($B$2,dist4wholesale,COLUMN(G53),FALSE)*'Input Global'!G21)</f>
        <v>0</v>
      </c>
      <c r="H53" s="99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99">
        <f>IF(LEFT($A$52,5)="blank",0,'Input General'!#REF!+(SUMPRODUCT('Input General'!#REF!,'Input General'!#REF!)*'Input Global'!D$21))</f>
        <v>0</v>
      </c>
      <c r="E54" s="99">
        <f>IF(LEFT($A$52,5)="blank",0,'Input General'!#REF!+(SUMPRODUCT('Input General'!#REF!,'Input General'!#REF!)*'Input Global'!E$21))</f>
        <v>0</v>
      </c>
      <c r="F54" s="99">
        <f>IF(LEFT($A$52,5)="blank",0,'Input General'!#REF!+(SUMPRODUCT('Input General'!#REF!,'Input General'!#REF!)*'Input Global'!F$21))</f>
        <v>0</v>
      </c>
      <c r="G54" s="99">
        <f>IF(LEFT($A$52,5)="blank",0,'Input General'!#REF!+(SUMPRODUCT('Input General'!#REF!,'Input General'!#REF!)*'Input Global'!G$21))</f>
        <v>0</v>
      </c>
      <c r="H54" s="99">
        <f>IF(LEFT($A$52,5)="blank",0,'Input General'!#REF!+(SUMPRODUCT('Input General'!#REF!,'Input General'!#REF!)*'Input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99">
        <f>IF(LEFT($A$52,5)="blank",0,'Input General'!#REF!+SUMPRODUCT('Input General'!#REF!,'Input General'!#REF!)*'Input Global'!D$21+'Input General'!#REF!)</f>
        <v>0</v>
      </c>
      <c r="E55" s="99">
        <f>IF(LEFT($A$52,5)="blank",0,'Input General'!#REF!+SUMPRODUCT('Input General'!#REF!,'Input General'!#REF!)*'Input Global'!E$21+'Input General'!#REF!)</f>
        <v>0</v>
      </c>
      <c r="F55" s="99">
        <f>IF(LEFT($A$52,5)="blank",0,'Input General'!#REF!+SUMPRODUCT('Input General'!#REF!,'Input General'!#REF!)*'Input Global'!F$21+'Input General'!#REF!)</f>
        <v>0</v>
      </c>
      <c r="G55" s="99">
        <f>IF(LEFT($A$52,5)="blank",0,'Input General'!#REF!+SUMPRODUCT('Input General'!#REF!,'Input General'!#REF!)*'Input Global'!G$21+'Input General'!#REF!)</f>
        <v>0</v>
      </c>
      <c r="H55" s="99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t="str">
        <f t="shared" si="5"/>
        <v>Retail</v>
      </c>
      <c r="C56" t="s">
        <v>57</v>
      </c>
      <c r="D56" s="99">
        <f>IF(LEFT($A$52,5)="blank",0,'Input General'!#REF!*'Input Global'!D$21)</f>
        <v>0</v>
      </c>
      <c r="E56" s="99">
        <f>IF(LEFT($A$52,5)="blank",0,'Input General'!#REF!*'Input Global'!E$21)</f>
        <v>0</v>
      </c>
      <c r="F56" s="99">
        <f>IF(LEFT($A$52,5)="blank",0,'Input General'!#REF!*'Input Global'!F$21)</f>
        <v>0</v>
      </c>
      <c r="G56" s="99">
        <f>IF(LEFT($A$52,5)="blank",0,'Input General'!#REF!*'Input Global'!G$21)</f>
        <v>0</v>
      </c>
      <c r="H56" s="99">
        <f>IF(LEFT($A$52,5)="blank",0,'Input General'!#REF!*'Input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99">
        <f>IF(LEFT($A$52,5)="blank",0,VLOOKUP($B$2,'Input General'!#REF!,COLUMN(D57),FALSE)*'Input Global'!D$36)</f>
        <v>0</v>
      </c>
      <c r="E57" s="99">
        <f>IF(LEFT($A$52,5)="blank",0,VLOOKUP($B$2,'Input General'!#REF!,COLUMN(E57),FALSE)*'Input Global'!E$36)</f>
        <v>0</v>
      </c>
      <c r="F57" s="99">
        <f>IF(LEFT($A$52,5)="blank",0,VLOOKUP($B$2,'Input General'!#REF!,COLUMN(F57),FALSE)*'Input Global'!F$36)</f>
        <v>0</v>
      </c>
      <c r="G57" s="99">
        <f>IF(LEFT($A$52,5)="blank",0,VLOOKUP($B$2,'Input General'!#REF!,COLUMN(G57),FALSE)*'Input Global'!G$36)</f>
        <v>0</v>
      </c>
      <c r="H57" s="99">
        <f>IF(LEFT($A$52,5)="blank",0,VLOOKUP($B$2,'Input General'!#REF!,COLUMN(H57),FALSE)*'Input Global'!H$36)</f>
        <v>0</v>
      </c>
    </row>
    <row r="58" spans="1:8" hidden="1" x14ac:dyDescent="0.3">
      <c r="A58" t="str">
        <f t="shared" si="5"/>
        <v>Green Schemes</v>
      </c>
      <c r="D58" s="95"/>
      <c r="E58" s="95"/>
      <c r="F58" s="95"/>
      <c r="G58" s="95"/>
      <c r="H58" s="95"/>
    </row>
    <row r="59" spans="1:8" hidden="1" x14ac:dyDescent="0.3">
      <c r="A59" s="11" t="str">
        <f t="shared" si="5"/>
        <v>Feed-in Tariffs</v>
      </c>
      <c r="C59" t="s">
        <v>57</v>
      </c>
      <c r="D59" s="99">
        <f>IF(LEFT($A$52,5)="blank",0,'Input General'!#REF!+SUMPRODUCT('Input General'!#REF!,'Input General'!#REF!)*'Input Global'!D$21)</f>
        <v>0</v>
      </c>
      <c r="E59" s="99">
        <f>IF(LEFT($A$52,5)="blank",0,'Input General'!#REF!+SUMPRODUCT('Input General'!#REF!,'Input General'!#REF!)*'Input Global'!E$21)</f>
        <v>0</v>
      </c>
      <c r="F59" s="99">
        <f>IF(LEFT($A$52,5)="blank",0,'Input General'!#REF!+SUMPRODUCT('Input General'!#REF!,'Input General'!#REF!)*'Input Global'!F$21)</f>
        <v>0</v>
      </c>
      <c r="G59" s="99">
        <f>IF(LEFT($A$52,5)="blank",0,'Input General'!#REF!+SUMPRODUCT('Input General'!#REF!,'Input General'!#REF!)*'Input Global'!G$21)</f>
        <v>0</v>
      </c>
      <c r="H59" s="99">
        <f>IF(LEFT($A$52,5)="blank",0,'Input General'!#REF!+SUMPRODUCT('Input General'!#REF!,'Input General'!#REF!)*'Input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99">
        <f>IF(LEFT($A$52,5)="blank",0,VLOOKUP($B$2,'Input General'!#REF!,COLUMN(D60),FALSE)*'Input Global'!D$21)</f>
        <v>0</v>
      </c>
      <c r="E60" s="99">
        <f>IF(LEFT($A$52,5)="blank",0,VLOOKUP($B$2,'Input General'!#REF!,COLUMN(E60),FALSE)*'Input Global'!E$21)</f>
        <v>0</v>
      </c>
      <c r="F60" s="99">
        <f>IF(LEFT($A$52,5)="blank",0,VLOOKUP($B$2,'Input General'!#REF!,COLUMN(F60),FALSE)*'Input Global'!F$21)</f>
        <v>0</v>
      </c>
      <c r="G60" s="99">
        <f>IF(LEFT($A$52,5)="blank",0,VLOOKUP($B$2,'Input General'!#REF!,COLUMN(G60),FALSE)*'Input Global'!G$21)</f>
        <v>0</v>
      </c>
      <c r="H60" s="99">
        <f>IF(LEFT($A$52,5)="blank",0,VLOOKUP($B$2,'Input General'!#REF!,COLUMN(H60),FALSE)*'Input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99">
        <f>IF(LEFT($A$52,5)="blank",0,VLOOKUP($B$2,'Input General'!#REF!,COLUMN(D61),FALSE)*'Input Global'!D21)</f>
        <v>0</v>
      </c>
      <c r="E61" s="99">
        <f>IF(LEFT($A$52,5)="blank",0,VLOOKUP($B$2,'Input General'!#REF!,COLUMN(E61),FALSE)*'Input Global'!E21)</f>
        <v>0</v>
      </c>
      <c r="F61" s="99">
        <f>IF(LEFT($A$52,5)="blank",0,VLOOKUP($B$2,'Input General'!#REF!,COLUMN(F61),FALSE)*'Input Global'!F21)</f>
        <v>0</v>
      </c>
      <c r="G61" s="99">
        <f>IF(LEFT($A$52,5)="blank",0,VLOOKUP($B$2,'Input General'!#REF!,COLUMN(G61),FALSE)*'Input Global'!G21)</f>
        <v>0</v>
      </c>
      <c r="H61" s="99">
        <f>IF(LEFT($A$52,5)="blank",0,VLOOKUP($B$2,'Input General'!#REF!,COLUMN(H61),FALSE)*'Input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99">
        <f>IF(LEFT($A$52,5)="blank",0,'Input General'!#REF!*'Input Global'!D$21)</f>
        <v>0</v>
      </c>
      <c r="E62" s="99">
        <f>IF(LEFT($A$52,5)="blank",0,'Input General'!#REF!*'Input Global'!E$21)</f>
        <v>0</v>
      </c>
      <c r="F62" s="99">
        <f>IF(LEFT($A$52,5)="blank",0,'Input General'!#REF!*'Input Global'!F$21)</f>
        <v>0</v>
      </c>
      <c r="G62" s="99">
        <f>IF(LEFT($A$52,5)="blank",0,'Input General'!#REF!*'Input Global'!G$21)</f>
        <v>0</v>
      </c>
      <c r="H62" s="99">
        <f>IF(LEFT($A$52,5)="blank",0,'Input General'!#REF!*'Input Global'!H$21)</f>
        <v>0</v>
      </c>
    </row>
    <row r="63" spans="1:8" hidden="1" x14ac:dyDescent="0.3">
      <c r="A63" s="11" t="str">
        <f t="shared" si="5"/>
        <v>Greenhouse gas abatement scheme</v>
      </c>
      <c r="C63" t="s">
        <v>57</v>
      </c>
      <c r="D63" s="99">
        <f>IF(LEFT($A$52,5)="blank",0,VLOOKUP($B$2,'Input General'!#REF!,COLUMN(D48),FALSE)*'Input Global'!D$21)</f>
        <v>0</v>
      </c>
      <c r="E63" s="99">
        <f>IF(LEFT($A$52,5)="blank",0,VLOOKUP($B$2,'Input General'!#REF!,COLUMN(E48),FALSE)*'Input Global'!E$21)</f>
        <v>0</v>
      </c>
      <c r="F63" s="99">
        <f>IF(LEFT($A$52,5)="blank",0,VLOOKUP($B$2,'Input General'!#REF!,COLUMN(F48),FALSE)*'Input Global'!F$21)</f>
        <v>0</v>
      </c>
      <c r="G63" s="99">
        <f>IF(LEFT($A$52,5)="blank",0,VLOOKUP($B$2,'Input General'!#REF!,COLUMN(G48),FALSE)*'Input Global'!G$21)</f>
        <v>0</v>
      </c>
      <c r="H63" s="99">
        <f>IF(LEFT($A$52,5)="blank",0,VLOOKUP($B$2,'Input General'!#REF!,COLUMN(H48),FALSE)*'Input Global'!H$21)</f>
        <v>0</v>
      </c>
    </row>
    <row r="64" spans="1:8" hidden="1" x14ac:dyDescent="0.3">
      <c r="A64" s="11" t="str">
        <f t="shared" si="5"/>
        <v>Energy Savings</v>
      </c>
      <c r="C64" t="s">
        <v>57</v>
      </c>
      <c r="D64" s="99">
        <f>IF(LEFT($A$52,5)="blank",0,VLOOKUP($B$2,'Input General'!#REF!,COLUMN(D64),FALSE)*'Input Global'!D$21)</f>
        <v>0</v>
      </c>
      <c r="E64" s="99">
        <f>IF(LEFT($A$52,5)="blank",0,VLOOKUP($B$2,'Input General'!#REF!,COLUMN(E64),FALSE)*'Input Global'!E$21)</f>
        <v>0</v>
      </c>
      <c r="F64" s="99">
        <f>IF(LEFT($A$52,5)="blank",0,VLOOKUP($B$2,'Input General'!#REF!,COLUMN(F64),FALSE)*'Input Global'!F$21)</f>
        <v>0</v>
      </c>
      <c r="G64" s="99">
        <f>IF(LEFT($A$52,5)="blank",0,VLOOKUP($B$2,'Input General'!#REF!,COLUMN(G64),FALSE)*'Input Global'!G$21)</f>
        <v>0</v>
      </c>
      <c r="H64" s="99">
        <f>IF(LEFT($A$52,5)="blank",0,VLOOKUP($B$2,'Input General'!#REF!,COLUMN(H64),FALSE)*'Input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99">
        <f>SUM(D53:D64)</f>
        <v>0</v>
      </c>
      <c r="E65" s="99">
        <f t="shared" ref="E65:H65" si="6">SUM(E53:E64)</f>
        <v>0</v>
      </c>
      <c r="F65" s="99">
        <f t="shared" si="6"/>
        <v>0</v>
      </c>
      <c r="G65" s="99">
        <f t="shared" si="6"/>
        <v>0</v>
      </c>
      <c r="H65" s="99">
        <f t="shared" si="6"/>
        <v>0</v>
      </c>
    </row>
    <row r="66" spans="1:8" hidden="1" x14ac:dyDescent="0.3">
      <c r="D66" s="94"/>
      <c r="E66" s="94"/>
      <c r="F66" s="94"/>
      <c r="G66" s="94"/>
      <c r="H66" s="94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99">
        <f>IF(LEFT($A$67,5)="blank",0,VLOOKUP($B$2,dist5wholesale,COLUMN(D68),FALSE)*'Input Global'!D22)</f>
        <v>0</v>
      </c>
      <c r="E68" s="99">
        <f>IF(LEFT($A$67,5)="blank",0,VLOOKUP($B$2,dist5wholesale,COLUMN(E68),FALSE)*'Input Global'!E22)</f>
        <v>0</v>
      </c>
      <c r="F68" s="99">
        <f>IF(LEFT($A$67,5)="blank",0,VLOOKUP($B$2,dist5wholesale,COLUMN(F68),FALSE)*'Input Global'!F22)</f>
        <v>0</v>
      </c>
      <c r="G68" s="99">
        <f>IF(LEFT($A$67,5)="blank",0,VLOOKUP($B$2,dist5wholesale,COLUMN(G68),FALSE)*'Input Global'!G22)</f>
        <v>0</v>
      </c>
      <c r="H68" s="99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99">
        <f>IF(LEFT($A$67,5)="blank",0,'Input General'!#REF!+(SUMPRODUCT('Input General'!#REF!,'Input General'!#REF!)*'Input Global'!D$22))</f>
        <v>0</v>
      </c>
      <c r="E69" s="99">
        <f>IF(LEFT($A$67,5)="blank",0,'Input General'!#REF!+(SUMPRODUCT('Input General'!#REF!,'Input General'!#REF!)*'Input Global'!E$22))</f>
        <v>0</v>
      </c>
      <c r="F69" s="99">
        <f>IF(LEFT($A$67,5)="blank",0,'Input General'!#REF!+(SUMPRODUCT('Input General'!#REF!,'Input General'!#REF!)*'Input Global'!F$22))</f>
        <v>0</v>
      </c>
      <c r="G69" s="99">
        <f>IF(LEFT($A$67,5)="blank",0,'Input General'!#REF!+(SUMPRODUCT('Input General'!#REF!,'Input General'!#REF!)*'Input Global'!G$22))</f>
        <v>0</v>
      </c>
      <c r="H69" s="99">
        <f>IF(LEFT($A$67,5)="blank",0,'Input General'!#REF!+(SUMPRODUCT('Input General'!#REF!,'Input General'!#REF!)*'Input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99">
        <f>IF(LEFT($A$67,5)="blank",0,'Input General'!#REF!+SUMPRODUCT('Input General'!#REF!,'Input General'!#REF!)*'Input Global'!D$22+'Input General'!#REF!)</f>
        <v>0</v>
      </c>
      <c r="E70" s="99">
        <f>IF(LEFT($A$67,5)="blank",0,'Input General'!#REF!+SUMPRODUCT('Input General'!#REF!,'Input General'!#REF!)*'Input Global'!E$22+'Input General'!#REF!)</f>
        <v>0</v>
      </c>
      <c r="F70" s="99">
        <f>IF(LEFT($A$67,5)="blank",0,'Input General'!#REF!+SUMPRODUCT('Input General'!#REF!,'Input General'!#REF!)*'Input Global'!F$22+'Input General'!#REF!)</f>
        <v>0</v>
      </c>
      <c r="G70" s="99">
        <f>IF(LEFT($A$67,5)="blank",0,'Input General'!#REF!+SUMPRODUCT('Input General'!#REF!,'Input General'!#REF!)*'Input Global'!G$22+'Input General'!#REF!)</f>
        <v>0</v>
      </c>
      <c r="H70" s="99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t="str">
        <f t="shared" si="7"/>
        <v>Retail</v>
      </c>
      <c r="C71" t="s">
        <v>57</v>
      </c>
      <c r="D71" s="99">
        <f>IF(LEFT($A$67,5)="blank",0,'Input General'!#REF!*'Input Global'!D$22)</f>
        <v>0</v>
      </c>
      <c r="E71" s="99">
        <f>IF(LEFT($A$67,5)="blank",0,'Input General'!#REF!*'Input Global'!E$22)</f>
        <v>0</v>
      </c>
      <c r="F71" s="99">
        <f>IF(LEFT($A$67,5)="blank",0,'Input General'!#REF!*'Input Global'!F$22)</f>
        <v>0</v>
      </c>
      <c r="G71" s="99">
        <f>IF(LEFT($A$67,5)="blank",0,'Input General'!#REF!*'Input Global'!G$22)</f>
        <v>0</v>
      </c>
      <c r="H71" s="99">
        <f>IF(LEFT($A$67,5)="blank",0,'Input General'!#REF!*'Input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99">
        <f>IF(LEFT($A$67,5)="blank",0,VLOOKUP($B$2,'Input General'!#REF!,COLUMN(D72),FALSE)*'Input Global'!D$37)</f>
        <v>0</v>
      </c>
      <c r="E72" s="99">
        <f>IF(LEFT($A$67,5)="blank",0,VLOOKUP($B$2,'Input General'!#REF!,COLUMN(E72),FALSE)*'Input Global'!E$37)</f>
        <v>0</v>
      </c>
      <c r="F72" s="99">
        <f>IF(LEFT($A$67,5)="blank",0,VLOOKUP($B$2,'Input General'!#REF!,COLUMN(F72),FALSE)*'Input Global'!F$37)</f>
        <v>0</v>
      </c>
      <c r="G72" s="99">
        <f>IF(LEFT($A$67,5)="blank",0,VLOOKUP($B$2,'Input General'!#REF!,COLUMN(G72),FALSE)*'Input Global'!G$37)</f>
        <v>0</v>
      </c>
      <c r="H72" s="99">
        <f>IF(LEFT($A$67,5)="blank",0,VLOOKUP($B$2,'Input General'!#REF!,COLUMN(H72),FALSE)*'Input Global'!H$37)</f>
        <v>0</v>
      </c>
    </row>
    <row r="73" spans="1:8" hidden="1" x14ac:dyDescent="0.3">
      <c r="A73" t="str">
        <f t="shared" si="7"/>
        <v>Green Schemes</v>
      </c>
      <c r="D73" s="95"/>
      <c r="E73" s="95"/>
      <c r="F73" s="95"/>
      <c r="G73" s="95"/>
      <c r="H73" s="95"/>
    </row>
    <row r="74" spans="1:8" hidden="1" x14ac:dyDescent="0.3">
      <c r="A74" s="11" t="str">
        <f t="shared" si="7"/>
        <v>Feed-in Tariffs</v>
      </c>
      <c r="C74" t="s">
        <v>57</v>
      </c>
      <c r="D74" s="99">
        <f>IF(LEFT($A$67,5)="blank",0,'Input General'!#REF!+SUMPRODUCT('Input General'!#REF!,'Input General'!#REF!)*'Input Global'!D$22)</f>
        <v>0</v>
      </c>
      <c r="E74" s="99">
        <f>IF(LEFT($A$67,5)="blank",0,'Input General'!#REF!+SUMPRODUCT('Input General'!#REF!,'Input General'!#REF!)*'Input Global'!E$22)</f>
        <v>0</v>
      </c>
      <c r="F74" s="99">
        <f>IF(LEFT($A$67,5)="blank",0,'Input General'!#REF!+SUMPRODUCT('Input General'!#REF!,'Input General'!#REF!)*'Input Global'!F$22)</f>
        <v>0</v>
      </c>
      <c r="G74" s="99">
        <f>IF(LEFT($A$67,5)="blank",0,'Input General'!#REF!+SUMPRODUCT('Input General'!#REF!,'Input General'!#REF!)*'Input Global'!G$22)</f>
        <v>0</v>
      </c>
      <c r="H74" s="99">
        <f>IF(LEFT($A$67,5)="blank",0,'Input General'!#REF!+SUMPRODUCT('Input General'!#REF!,'Input General'!#REF!)*'Input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99">
        <f>IF(LEFT($A$67,5)="blank",0,VLOOKUP($B$2,'Input General'!#REF!,COLUMN(D75),FALSE)*'Input Global'!D$22)</f>
        <v>0</v>
      </c>
      <c r="E75" s="99">
        <f>IF(LEFT($A$67,5)="blank",0,VLOOKUP($B$2,'Input General'!#REF!,COLUMN(E75),FALSE)*'Input Global'!E$22)</f>
        <v>0</v>
      </c>
      <c r="F75" s="99">
        <f>IF(LEFT($A$67,5)="blank",0,VLOOKUP($B$2,'Input General'!#REF!,COLUMN(F75),FALSE)*'Input Global'!F$22)</f>
        <v>0</v>
      </c>
      <c r="G75" s="99">
        <f>IF(LEFT($A$67,5)="blank",0,VLOOKUP($B$2,'Input General'!#REF!,COLUMN(G75),FALSE)*'Input Global'!G$22)</f>
        <v>0</v>
      </c>
      <c r="H75" s="99">
        <f>IF(LEFT($A$67,5)="blank",0,VLOOKUP($B$2,'Input General'!#REF!,COLUMN(H75),FALSE)*'Input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99">
        <f>IF(LEFT($A$67,5)="blank",0,VLOOKUP($B$2,'Input General'!#REF!,COLUMN(D76),FALSE)*'Input Global'!D22)</f>
        <v>0</v>
      </c>
      <c r="E76" s="99">
        <f>IF(LEFT($A$67,5)="blank",0,VLOOKUP($B$2,'Input General'!#REF!,COLUMN(E76),FALSE)*'Input Global'!E22)</f>
        <v>0</v>
      </c>
      <c r="F76" s="99">
        <f>IF(LEFT($A$67,5)="blank",0,VLOOKUP($B$2,'Input General'!#REF!,COLUMN(F76),FALSE)*'Input Global'!F22)</f>
        <v>0</v>
      </c>
      <c r="G76" s="99">
        <f>IF(LEFT($A$67,5)="blank",0,VLOOKUP($B$2,'Input General'!#REF!,COLUMN(G76),FALSE)*'Input Global'!G22)</f>
        <v>0</v>
      </c>
      <c r="H76" s="99">
        <f>IF(LEFT($A$67,5)="blank",0,VLOOKUP($B$2,'Input General'!#REF!,COLUMN(H76),FALSE)*'Input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99">
        <f>IF(LEFT($A$67,5)="blank",0,'Input General'!#REF!*'Input Global'!D$22)</f>
        <v>0</v>
      </c>
      <c r="E77" s="99">
        <f>IF(LEFT($A$67,5)="blank",0,'Input General'!#REF!*'Input Global'!E$22)</f>
        <v>0</v>
      </c>
      <c r="F77" s="99">
        <f>IF(LEFT($A$67,5)="blank",0,'Input General'!#REF!*'Input Global'!F$22)</f>
        <v>0</v>
      </c>
      <c r="G77" s="99">
        <f>IF(LEFT($A$67,5)="blank",0,'Input General'!#REF!*'Input Global'!G$22)</f>
        <v>0</v>
      </c>
      <c r="H77" s="99">
        <f>IF(LEFT($A$67,5)="blank",0,'Input General'!#REF!*'Input Global'!H$22)</f>
        <v>0</v>
      </c>
    </row>
    <row r="78" spans="1:8" hidden="1" x14ac:dyDescent="0.3">
      <c r="A78" s="11" t="str">
        <f t="shared" si="7"/>
        <v>Greenhouse gas abatement scheme</v>
      </c>
      <c r="C78" t="s">
        <v>57</v>
      </c>
      <c r="D78" s="99">
        <f>IF(LEFT($A$67,5)="blank",0,VLOOKUP($B$2,'Input General'!#REF!,COLUMN(D78),FALSE)*'Input Global'!D$22)</f>
        <v>0</v>
      </c>
      <c r="E78" s="99">
        <f>IF(LEFT($A$67,5)="blank",0,VLOOKUP($B$2,'Input General'!#REF!,COLUMN(E78),FALSE)*'Input Global'!E$22)</f>
        <v>0</v>
      </c>
      <c r="F78" s="99">
        <f>IF(LEFT($A$67,5)="blank",0,VLOOKUP($B$2,'Input General'!#REF!,COLUMN(F78),FALSE)*'Input Global'!F$22)</f>
        <v>0</v>
      </c>
      <c r="G78" s="99">
        <f>IF(LEFT($A$67,5)="blank",0,VLOOKUP($B$2,'Input General'!#REF!,COLUMN(G78),FALSE)*'Input Global'!G$22)</f>
        <v>0</v>
      </c>
      <c r="H78" s="99">
        <f>IF(LEFT($A$67,5)="blank",0,VLOOKUP($B$2,'Input General'!#REF!,COLUMN(H78),FALSE)*'Input Global'!H$22)</f>
        <v>0</v>
      </c>
    </row>
    <row r="79" spans="1:8" hidden="1" x14ac:dyDescent="0.3">
      <c r="A79" s="11" t="str">
        <f t="shared" si="7"/>
        <v>Energy Savings</v>
      </c>
      <c r="C79" t="s">
        <v>57</v>
      </c>
      <c r="D79" s="99">
        <f>IF(LEFT($A$67,5)="blank",0,VLOOKUP($B$2,'Input General'!#REF!,COLUMN(D79),FALSE)*'Input Global'!D$22)</f>
        <v>0</v>
      </c>
      <c r="E79" s="99">
        <f>IF(LEFT($A$67,5)="blank",0,VLOOKUP($B$2,'Input General'!#REF!,COLUMN(E79),FALSE)*'Input Global'!E$22)</f>
        <v>0</v>
      </c>
      <c r="F79" s="99">
        <f>IF(LEFT($A$67,5)="blank",0,VLOOKUP($B$2,'Input General'!#REF!,COLUMN(F79),FALSE)*'Input Global'!F$22)</f>
        <v>0</v>
      </c>
      <c r="G79" s="99">
        <f>IF(LEFT($A$67,5)="blank",0,VLOOKUP($B$2,'Input General'!#REF!,COLUMN(G79),FALSE)*'Input Global'!G$22)</f>
        <v>0</v>
      </c>
      <c r="H79" s="99">
        <f>IF(LEFT($A$67,5)="blank",0,VLOOKUP($B$2,'Input General'!#REF!,COLUMN(H79),FALSE)*'Input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99">
        <f>SUM(D68:D79)</f>
        <v>0</v>
      </c>
      <c r="E80" s="99">
        <f t="shared" ref="E80:H80" si="8">SUM(E68:E79)</f>
        <v>0</v>
      </c>
      <c r="F80" s="99">
        <f t="shared" si="8"/>
        <v>0</v>
      </c>
      <c r="G80" s="99">
        <f t="shared" si="8"/>
        <v>0</v>
      </c>
      <c r="H80" s="99">
        <f t="shared" si="8"/>
        <v>0</v>
      </c>
    </row>
    <row r="81" spans="1:8" x14ac:dyDescent="0.3">
      <c r="D81" s="95"/>
      <c r="E81" s="95"/>
      <c r="F81" s="95"/>
      <c r="G81" s="95"/>
      <c r="H81" s="95"/>
    </row>
    <row r="82" spans="1:8" ht="18.75" x14ac:dyDescent="0.3">
      <c r="A82" s="1" t="s">
        <v>56</v>
      </c>
      <c r="B82" s="1" t="s">
        <v>42</v>
      </c>
      <c r="D82" s="95"/>
      <c r="E82" s="95"/>
      <c r="F82" s="95"/>
      <c r="G82" s="95"/>
      <c r="H82" s="95"/>
    </row>
    <row r="84" spans="1:8" x14ac:dyDescent="0.3">
      <c r="A84" s="8" t="str">
        <f>Dist1</f>
        <v>ActewAGL</v>
      </c>
    </row>
    <row r="85" spans="1:8" x14ac:dyDescent="0.3">
      <c r="A85" t="str">
        <f>A68</f>
        <v>Wholesale</v>
      </c>
      <c r="C85" t="s">
        <v>11</v>
      </c>
      <c r="D85" s="99">
        <f ca="1">IF(LEFT($A$84,5)="blank",0,D8/'Input Global'!D$18)</f>
        <v>6.3952207999999997</v>
      </c>
      <c r="E85" s="99">
        <f ca="1">IF(LEFT($A$84,5)="blank",0,E8/'Input Global'!E$18)</f>
        <v>5.9533839999999998</v>
      </c>
      <c r="F85" s="99">
        <f ca="1">IF(LEFT($A$84,5)="blank",0,F8/'Input Global'!F$18)</f>
        <v>5.4239500000000005</v>
      </c>
      <c r="G85" s="99">
        <f ca="1">IF(LEFT($A$84,5)="blank",0,G8/'Input Global'!G$18)</f>
        <v>4.9610397894784617</v>
      </c>
      <c r="H85" s="99">
        <f ca="1">IF(LEFT($A$84,5)="blank",0,H8/'Input Global'!H$18)</f>
        <v>5.1594708915029406</v>
      </c>
    </row>
    <row r="86" spans="1:8" x14ac:dyDescent="0.3">
      <c r="A86" t="str">
        <f t="shared" ref="A86:A96" si="9">A69</f>
        <v>Transmission</v>
      </c>
      <c r="C86" t="s">
        <v>11</v>
      </c>
      <c r="D86" s="99">
        <f>IF(LEFT($A$84,5)="blank",0,D9/'Input Global'!D$18)</f>
        <v>1.149</v>
      </c>
      <c r="E86" s="99">
        <f>IF(LEFT($A$84,5)="blank",0,E9/'Input Global'!E$18)</f>
        <v>1.377</v>
      </c>
      <c r="F86" s="99">
        <f>IF(LEFT($A$84,5)="blank",0,F9/'Input Global'!F$18)</f>
        <v>1.653</v>
      </c>
      <c r="G86" s="99">
        <f>IF(LEFT($A$84,5)="blank",0,G9/'Input Global'!G$18)</f>
        <v>1.7681587277667981</v>
      </c>
      <c r="H86" s="99">
        <f>IF(LEFT($A$84,5)="blank",0,H9/'Input Global'!H$18)</f>
        <v>1.8913401612691485</v>
      </c>
    </row>
    <row r="87" spans="1:8" x14ac:dyDescent="0.3">
      <c r="A87" t="str">
        <f t="shared" si="9"/>
        <v>Distribution</v>
      </c>
      <c r="C87" t="s">
        <v>11</v>
      </c>
      <c r="D87" s="99">
        <f>IF(LEFT($A$84,5)="blank",0,D10/'Input Global'!D$18)</f>
        <v>5.9003624325649824</v>
      </c>
      <c r="E87" s="99">
        <f>IF(LEFT($A$84,5)="blank",0,E10/'Input Global'!E$18)</f>
        <v>5.8543412017953766</v>
      </c>
      <c r="F87" s="99">
        <f>IF(LEFT($A$84,5)="blank",0,F10/'Input Global'!F$18)</f>
        <v>6.1015645288266089</v>
      </c>
      <c r="G87" s="99">
        <f>IF(LEFT($A$84,5)="blank",0,G10/'Input Global'!G$18)</f>
        <v>6.5133271027211919</v>
      </c>
      <c r="H87" s="99">
        <f>IF(LEFT($A$84,5)="blank",0,H10/'Input Global'!H$18)</f>
        <v>7.0049070260268023</v>
      </c>
    </row>
    <row r="88" spans="1:8" x14ac:dyDescent="0.3">
      <c r="A88" t="str">
        <f t="shared" si="9"/>
        <v>Retail</v>
      </c>
      <c r="C88" t="s">
        <v>11</v>
      </c>
      <c r="D88" s="99">
        <f>IF(LEFT($A$84,5)="blank",0,D11/'Input Global'!D$18)</f>
        <v>1.056</v>
      </c>
      <c r="E88" s="99">
        <f>IF(LEFT($A$84,5)="blank",0,E11/'Input Global'!E$18)</f>
        <v>1.0860000000000001</v>
      </c>
      <c r="F88" s="99">
        <f>IF(LEFT($A$84,5)="blank",0,F11/'Input Global'!F$18)</f>
        <v>1.1131499999999999</v>
      </c>
      <c r="G88" s="99">
        <f>IF(LEFT($A$84,5)="blank",0,G11/'Input Global'!G$18)</f>
        <v>1.1409787499999997</v>
      </c>
      <c r="H88" s="99">
        <f>IF(LEFT($A$84,5)="blank",0,H11/'Input Global'!H$18)</f>
        <v>1.1695032187499996</v>
      </c>
    </row>
    <row r="89" spans="1:8" x14ac:dyDescent="0.3">
      <c r="A89" t="str">
        <f t="shared" si="9"/>
        <v>Retail and Residual</v>
      </c>
      <c r="C89" t="s">
        <v>11</v>
      </c>
      <c r="D89" s="99">
        <f ca="1">IF(LEFT($A$84,5)="blank",0,D12/'Input Global'!D$18)</f>
        <v>0.81651149455850902</v>
      </c>
      <c r="E89" s="99">
        <f ca="1">IF(LEFT($A$84,5)="blank",0,E12/'Input Global'!E$18)</f>
        <v>0.86559191353800879</v>
      </c>
      <c r="F89" s="99">
        <f ca="1">IF(LEFT($A$84,5)="blank",0,F12/'Input Global'!F$18)</f>
        <v>0.97658452849435995</v>
      </c>
      <c r="G89" s="99">
        <f ca="1">IF(LEFT($A$84,5)="blank",0,G12/'Input Global'!G$18)</f>
        <v>0.99042853887427684</v>
      </c>
      <c r="H89" s="99">
        <f ca="1">IF(LEFT($A$84,5)="blank",0,H12/'Input Global'!H$18)</f>
        <v>1.0363354868673826</v>
      </c>
    </row>
    <row r="90" spans="1:8" x14ac:dyDescent="0.3">
      <c r="A90" t="str">
        <f t="shared" si="9"/>
        <v>Green Schemes</v>
      </c>
      <c r="C90" t="s">
        <v>11</v>
      </c>
      <c r="D90" s="95"/>
      <c r="E90" s="95"/>
      <c r="F90" s="95"/>
      <c r="G90" s="95"/>
      <c r="H90" s="95"/>
    </row>
    <row r="91" spans="1:8" x14ac:dyDescent="0.3">
      <c r="A91" s="11" t="str">
        <f t="shared" si="9"/>
        <v>Feed-in Tariffs</v>
      </c>
      <c r="C91" t="s">
        <v>11</v>
      </c>
      <c r="D91" s="99">
        <f>IF(LEFT($A$84,5)="blank",0,D14/'Input Global'!D$18)</f>
        <v>0</v>
      </c>
      <c r="E91" s="99">
        <f>IF(LEFT($A$84,5)="blank",0,E14/'Input Global'!E$18)</f>
        <v>0.33175467853812057</v>
      </c>
      <c r="F91" s="99">
        <f>IF(LEFT($A$84,5)="blank",0,F14/'Input Global'!F$18)</f>
        <v>0.4122341469948716</v>
      </c>
      <c r="G91" s="99">
        <f>IF(LEFT($A$84,5)="blank",0,G14/'Input Global'!G$18)</f>
        <v>0.49288049723650695</v>
      </c>
      <c r="H91" s="99">
        <f>IF(LEFT($A$84,5)="blank",0,H14/'Input Global'!H$18)</f>
        <v>0.53253396544042708</v>
      </c>
    </row>
    <row r="92" spans="1:8" x14ac:dyDescent="0.3">
      <c r="A92" s="11" t="str">
        <f t="shared" si="9"/>
        <v>Carbon costs</v>
      </c>
      <c r="C92" t="s">
        <v>11</v>
      </c>
      <c r="D92" s="99">
        <f ca="1">IF(LEFT($A$84,5)="blank",0,D15/'Input Global'!D$18)</f>
        <v>0</v>
      </c>
      <c r="E92" s="99">
        <f ca="1">IF(LEFT($A$84,5)="blank",0,E15/'Input Global'!E$18)</f>
        <v>0</v>
      </c>
      <c r="F92" s="99">
        <f ca="1">IF(LEFT($A$84,5)="blank",0,F15/'Input Global'!F$18)</f>
        <v>2.1179999999999999</v>
      </c>
      <c r="G92" s="99">
        <f ca="1">IF(LEFT($A$84,5)="blank",0,G15/'Input Global'!G$18)</f>
        <v>2.3756274961163113</v>
      </c>
      <c r="H92" s="99">
        <f ca="1">IF(LEFT($A$84,5)="blank",0,H15/'Input Global'!H$18)</f>
        <v>2.2742035749762217</v>
      </c>
    </row>
    <row r="93" spans="1:8" x14ac:dyDescent="0.3">
      <c r="A93" s="11" t="str">
        <f t="shared" si="9"/>
        <v>Large Scale Renewable Energy Target</v>
      </c>
      <c r="C93" t="s">
        <v>11</v>
      </c>
      <c r="D93" s="99">
        <f ca="1">IF(LEFT($A$84,5)="blank",0,D16/'Input Global'!D$18)</f>
        <v>0.19463509991311903</v>
      </c>
      <c r="E93" s="99">
        <f ca="1">IF(LEFT($A$84,5)="blank",0,E16/'Input Global'!E$18)</f>
        <v>0.49660295395308429</v>
      </c>
      <c r="F93" s="99">
        <f ca="1">IF(LEFT($A$84,5)="blank",0,F16/'Input Global'!F$18)</f>
        <v>0.43499999999999994</v>
      </c>
      <c r="G93" s="99">
        <f ca="1">IF(LEFT($A$84,5)="blank",0,G16/'Input Global'!G$18)</f>
        <v>0.46612709452899753</v>
      </c>
      <c r="H93" s="99">
        <f ca="1">IF(LEFT($A$84,5)="blank",0,H16/'Input Global'!H$18)</f>
        <v>0.49360834598285647</v>
      </c>
    </row>
    <row r="94" spans="1:8" x14ac:dyDescent="0.3">
      <c r="A94" s="11" t="str">
        <f t="shared" si="9"/>
        <v>Small Scale Renewable Energy Scheme</v>
      </c>
      <c r="C94" t="s">
        <v>11</v>
      </c>
      <c r="D94" s="99">
        <f ca="1">IF(LEFT($A$84,5)="blank",0,D17/'Input Global'!D$18)</f>
        <v>0.32036490008688107</v>
      </c>
      <c r="E94" s="99">
        <f ca="1">IF(LEFT($A$84,5)="blank",0,E17/'Input Global'!E$18)</f>
        <v>0.81739704604691588</v>
      </c>
      <c r="F94" s="99">
        <f ca="1">IF(LEFT($A$84,5)="blank",0,F17/'Input Global'!F$18)</f>
        <v>0.71599999999999997</v>
      </c>
      <c r="G94" s="99">
        <f ca="1">IF(LEFT($A$84,5)="blank",0,G17/'Input Global'!G$18)</f>
        <v>0.31512978056426327</v>
      </c>
      <c r="H94" s="99">
        <f ca="1">IF(LEFT($A$84,5)="blank",0,H17/'Input Global'!H$18)</f>
        <v>0.27383072100313477</v>
      </c>
    </row>
    <row r="95" spans="1:8" x14ac:dyDescent="0.3">
      <c r="A95" s="11" t="str">
        <f t="shared" si="9"/>
        <v>Greenhouse gas abatement scheme</v>
      </c>
      <c r="C95" t="s">
        <v>11</v>
      </c>
      <c r="D95" s="99">
        <f ca="1">IF(LEFT($A$84,5)="blank",0,D18/'Input Global'!D$18)</f>
        <v>0.105</v>
      </c>
      <c r="E95" s="99">
        <f ca="1">IF(LEFT($A$84,5)="blank",0,E18/'Input Global'!E$18)</f>
        <v>0.11299999999999999</v>
      </c>
      <c r="F95" s="99">
        <f ca="1">IF(LEFT($A$84,5)="blank",0,F18/'Input Global'!F$18)</f>
        <v>0</v>
      </c>
      <c r="G95" s="99">
        <f ca="1">IF(LEFT($A$84,5)="blank",0,G18/'Input Global'!G$18)</f>
        <v>0</v>
      </c>
      <c r="H95" s="99">
        <f ca="1">IF(LEFT($A$84,5)="blank",0,H18/'Input Global'!H$18)</f>
        <v>0</v>
      </c>
    </row>
    <row r="96" spans="1:8" x14ac:dyDescent="0.3">
      <c r="A96" s="11" t="str">
        <f t="shared" si="9"/>
        <v>Energy Savings</v>
      </c>
      <c r="C96" t="s">
        <v>11</v>
      </c>
      <c r="D96" s="99">
        <f ca="1">IF(LEFT($A$84,5)="blank",0,D19/'Input Global'!D$18)</f>
        <v>0</v>
      </c>
      <c r="E96" s="99">
        <f ca="1">IF(LEFT($A$84,5)="blank",0,E19/'Input Global'!E$18)</f>
        <v>0</v>
      </c>
      <c r="F96" s="99">
        <f ca="1">IF(LEFT($A$84,5)="blank",0,F19/'Input Global'!F$18)</f>
        <v>0.11200000000000002</v>
      </c>
      <c r="G96" s="99">
        <f ca="1">IF(LEFT($A$84,5)="blank",0,G19/'Input Global'!G$18)</f>
        <v>0.308</v>
      </c>
      <c r="H96" s="99">
        <f ca="1">IF(LEFT($A$84,5)="blank",0,H19/'Input Global'!H$18)</f>
        <v>0.39200000000000007</v>
      </c>
    </row>
    <row r="97" spans="1:8" x14ac:dyDescent="0.3">
      <c r="A97" s="12" t="s">
        <v>55</v>
      </c>
      <c r="B97" s="12"/>
      <c r="C97" s="12" t="s">
        <v>11</v>
      </c>
      <c r="D97" s="99">
        <f ca="1">SUM(D85:D96)</f>
        <v>15.93709472712349</v>
      </c>
      <c r="E97" s="99">
        <f t="shared" ref="E97:H97" ca="1" si="10">SUM(E85:E96)</f>
        <v>16.895071793871505</v>
      </c>
      <c r="F97" s="99">
        <f t="shared" ca="1" si="10"/>
        <v>19.061483204315838</v>
      </c>
      <c r="G97" s="99">
        <f t="shared" ca="1" si="10"/>
        <v>19.331697777286806</v>
      </c>
      <c r="H97" s="99">
        <f t="shared" ca="1" si="10"/>
        <v>20.227733391818912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99">
        <f>IF(LEFT($A$99,5)="blank",0,D23/'Input Global'!D$19)</f>
        <v>0</v>
      </c>
      <c r="E100" s="99">
        <f>IF(LEFT($A$99,5)="blank",0,E23/'Input Global'!E$19)</f>
        <v>0</v>
      </c>
      <c r="F100" s="99">
        <f>IF(LEFT($A$99,5)="blank",0,F23/'Input Global'!F$19)</f>
        <v>0</v>
      </c>
      <c r="G100" s="99">
        <f>IF(LEFT($A$99,5)="blank",0,G23/'Input Global'!G$19)</f>
        <v>0</v>
      </c>
      <c r="H100" s="99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99">
        <f>IF(LEFT($A$99,5)="blank",0,D24/'Input Global'!D$19)</f>
        <v>0</v>
      </c>
      <c r="E101" s="99">
        <f>IF(LEFT($A$99,5)="blank",0,E24/'Input Global'!E$19)</f>
        <v>0</v>
      </c>
      <c r="F101" s="99">
        <f>IF(LEFT($A$99,5)="blank",0,F24/'Input Global'!F$19)</f>
        <v>0</v>
      </c>
      <c r="G101" s="99">
        <f>IF(LEFT($A$99,5)="blank",0,G24/'Input Global'!G$19)</f>
        <v>0</v>
      </c>
      <c r="H101" s="99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99">
        <f>IF(LEFT($A$99,5)="blank",0,D25/'Input Global'!D$19)</f>
        <v>0</v>
      </c>
      <c r="E102" s="99">
        <f>IF(LEFT($A$99,5)="blank",0,E25/'Input Global'!E$19)</f>
        <v>0</v>
      </c>
      <c r="F102" s="99">
        <f>IF(LEFT($A$99,5)="blank",0,F25/'Input Global'!F$19)</f>
        <v>0</v>
      </c>
      <c r="G102" s="99">
        <f>IF(LEFT($A$99,5)="blank",0,G25/'Input Global'!G$19)</f>
        <v>0</v>
      </c>
      <c r="H102" s="99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99">
        <f>IF(LEFT($A$99,5)="blank",0,D26/'Input Global'!D$19)</f>
        <v>0</v>
      </c>
      <c r="E103" s="99">
        <f>IF(LEFT($A$99,5)="blank",0,E26/'Input Global'!E$19)</f>
        <v>0</v>
      </c>
      <c r="F103" s="99">
        <f>IF(LEFT($A$99,5)="blank",0,F26/'Input Global'!F$19)</f>
        <v>0</v>
      </c>
      <c r="G103" s="99">
        <f>IF(LEFT($A$99,5)="blank",0,G26/'Input Global'!G$19)</f>
        <v>0</v>
      </c>
      <c r="H103" s="99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99">
        <f>IF(LEFT($A$99,5)="blank",0,D27/'Input Global'!D$19)</f>
        <v>0</v>
      </c>
      <c r="E104" s="99">
        <f>IF(LEFT($A$99,5)="blank",0,E27/'Input Global'!E$19)</f>
        <v>0</v>
      </c>
      <c r="F104" s="99">
        <f>IF(LEFT($A$99,5)="blank",0,F27/'Input Global'!F$19)</f>
        <v>0</v>
      </c>
      <c r="G104" s="99">
        <f>IF(LEFT($A$99,5)="blank",0,G27/'Input Global'!G$19)</f>
        <v>0</v>
      </c>
      <c r="H104" s="99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95"/>
      <c r="E105" s="95"/>
      <c r="F105" s="95"/>
      <c r="G105" s="95"/>
      <c r="H105" s="95"/>
    </row>
    <row r="106" spans="1:8" hidden="1" x14ac:dyDescent="0.3">
      <c r="A106" s="11" t="str">
        <f t="shared" si="11"/>
        <v>Feed-in Tariffs</v>
      </c>
      <c r="C106" t="s">
        <v>11</v>
      </c>
      <c r="D106" s="99">
        <f>IF(LEFT($A$99,5)="blank",0,D29/'Input Global'!D$19)</f>
        <v>0</v>
      </c>
      <c r="E106" s="99">
        <f>IF(LEFT($A$99,5)="blank",0,E29/'Input Global'!E$19)</f>
        <v>0</v>
      </c>
      <c r="F106" s="99">
        <f>IF(LEFT($A$99,5)="blank",0,F29/'Input Global'!F$19)</f>
        <v>0</v>
      </c>
      <c r="G106" s="99">
        <f>IF(LEFT($A$99,5)="blank",0,G29/'Input Global'!G$19)</f>
        <v>0</v>
      </c>
      <c r="H106" s="99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99">
        <f>IF(LEFT($A$99,5)="blank",0,D30/'Input Global'!D$19)</f>
        <v>0</v>
      </c>
      <c r="E107" s="99">
        <f>IF(LEFT($A$99,5)="blank",0,E30/'Input Global'!E$19)</f>
        <v>0</v>
      </c>
      <c r="F107" s="99">
        <f>IF(LEFT($A$99,5)="blank",0,F30/'Input Global'!F$19)</f>
        <v>0</v>
      </c>
      <c r="G107" s="99">
        <f>IF(LEFT($A$99,5)="blank",0,G30/'Input Global'!G$19)</f>
        <v>0</v>
      </c>
      <c r="H107" s="99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99">
        <f>IF(LEFT($A$99,5)="blank",0,D31/'Input Global'!D$19)</f>
        <v>0</v>
      </c>
      <c r="E108" s="99">
        <f>IF(LEFT($A$99,5)="blank",0,E31/'Input Global'!E$19)</f>
        <v>0</v>
      </c>
      <c r="F108" s="99">
        <f>IF(LEFT($A$99,5)="blank",0,F31/'Input Global'!F$19)</f>
        <v>0</v>
      </c>
      <c r="G108" s="99">
        <f>IF(LEFT($A$99,5)="blank",0,G31/'Input Global'!G$19)</f>
        <v>0</v>
      </c>
      <c r="H108" s="99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99">
        <f>IF(LEFT($A$99,5)="blank",0,D32/'Input Global'!D$19)</f>
        <v>0</v>
      </c>
      <c r="E109" s="99">
        <f>IF(LEFT($A$99,5)="blank",0,E32/'Input Global'!E$19)</f>
        <v>0</v>
      </c>
      <c r="F109" s="99">
        <f>IF(LEFT($A$99,5)="blank",0,F32/'Input Global'!F$19)</f>
        <v>0</v>
      </c>
      <c r="G109" s="99">
        <f>IF(LEFT($A$99,5)="blank",0,G32/'Input Global'!G$19)</f>
        <v>0</v>
      </c>
      <c r="H109" s="99">
        <f>IF(LEFT($A$99,5)="blank",0,H32/'Input Global'!H$19)</f>
        <v>0</v>
      </c>
    </row>
    <row r="110" spans="1:8" hidden="1" x14ac:dyDescent="0.3">
      <c r="A110" s="11" t="str">
        <f t="shared" si="11"/>
        <v>Greenhouse gas abatement scheme</v>
      </c>
      <c r="C110" t="s">
        <v>11</v>
      </c>
      <c r="D110" s="99">
        <f>IF(LEFT($A$99,5)="blank",0,D33/'Input Global'!D$19)</f>
        <v>0</v>
      </c>
      <c r="E110" s="99">
        <f>IF(LEFT($A$99,5)="blank",0,E33/'Input Global'!E$19)</f>
        <v>0</v>
      </c>
      <c r="F110" s="99">
        <f>IF(LEFT($A$99,5)="blank",0,F33/'Input Global'!F$19)</f>
        <v>0</v>
      </c>
      <c r="G110" s="99">
        <f>IF(LEFT($A$99,5)="blank",0,G33/'Input Global'!G$19)</f>
        <v>0</v>
      </c>
      <c r="H110" s="99">
        <f>IF(LEFT($A$99,5)="blank",0,H33/'Input Global'!H$19)</f>
        <v>0</v>
      </c>
    </row>
    <row r="111" spans="1:8" hidden="1" x14ac:dyDescent="0.3">
      <c r="A111" s="11" t="str">
        <f t="shared" si="11"/>
        <v>Energy Savings</v>
      </c>
      <c r="C111" t="s">
        <v>11</v>
      </c>
      <c r="D111" s="99">
        <f>IF(LEFT($A$99,5)="blank",0,D34/'Input Global'!D$19)</f>
        <v>0</v>
      </c>
      <c r="E111" s="99">
        <f>IF(LEFT($A$99,5)="blank",0,E34/'Input Global'!E$19)</f>
        <v>0</v>
      </c>
      <c r="F111" s="99">
        <f>IF(LEFT($A$99,5)="blank",0,F34/'Input Global'!F$19)</f>
        <v>0</v>
      </c>
      <c r="G111" s="99">
        <f>IF(LEFT($A$99,5)="blank",0,G34/'Input Global'!G$19)</f>
        <v>0</v>
      </c>
      <c r="H111" s="99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99">
        <f>SUM(D100:D111)</f>
        <v>0</v>
      </c>
      <c r="E112" s="99">
        <f t="shared" ref="E112:H112" si="12">SUM(E100:E111)</f>
        <v>0</v>
      </c>
      <c r="F112" s="99">
        <f t="shared" si="12"/>
        <v>0</v>
      </c>
      <c r="G112" s="99">
        <f t="shared" si="12"/>
        <v>0</v>
      </c>
      <c r="H112" s="99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99">
        <f>IF(LEFT($A$114,5)="blank",0,D38/'Input Global'!D$20)</f>
        <v>0</v>
      </c>
      <c r="E115" s="99">
        <f>IF(LEFT($A$114,5)="blank",0,E38/'Input Global'!E$20)</f>
        <v>0</v>
      </c>
      <c r="F115" s="99">
        <f>IF(LEFT($A$114,5)="blank",0,F38/'Input Global'!F$20)</f>
        <v>0</v>
      </c>
      <c r="G115" s="99">
        <f>IF(LEFT($A$114,5)="blank",0,G38/'Input Global'!G$20)</f>
        <v>0</v>
      </c>
      <c r="H115" s="99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99">
        <f>IF(LEFT($A$114,5)="blank",0,D39/'Input Global'!D$20)</f>
        <v>0</v>
      </c>
      <c r="E116" s="99">
        <f>IF(LEFT($A$114,5)="blank",0,E39/'Input Global'!E$20)</f>
        <v>0</v>
      </c>
      <c r="F116" s="99">
        <f>IF(LEFT($A$114,5)="blank",0,F39/'Input Global'!F$20)</f>
        <v>0</v>
      </c>
      <c r="G116" s="99">
        <f>IF(LEFT($A$114,5)="blank",0,G39/'Input Global'!G$20)</f>
        <v>0</v>
      </c>
      <c r="H116" s="99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99">
        <f>IF(LEFT($A$114,5)="blank",0,D40/'Input Global'!D$20)</f>
        <v>0</v>
      </c>
      <c r="E117" s="99">
        <f>IF(LEFT($A$114,5)="blank",0,E40/'Input Global'!E$20)</f>
        <v>0</v>
      </c>
      <c r="F117" s="99">
        <f>IF(LEFT($A$114,5)="blank",0,F40/'Input Global'!F$20)</f>
        <v>0</v>
      </c>
      <c r="G117" s="99">
        <f>IF(LEFT($A$114,5)="blank",0,G40/'Input Global'!G$20)</f>
        <v>0</v>
      </c>
      <c r="H117" s="99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99">
        <f>IF(LEFT($A$114,5)="blank",0,D41/'Input Global'!D$20)</f>
        <v>0</v>
      </c>
      <c r="E118" s="99">
        <f>IF(LEFT($A$114,5)="blank",0,E41/'Input Global'!E$20)</f>
        <v>0</v>
      </c>
      <c r="F118" s="99">
        <f>IF(LEFT($A$114,5)="blank",0,F41/'Input Global'!F$20)</f>
        <v>0</v>
      </c>
      <c r="G118" s="99">
        <f>IF(LEFT($A$114,5)="blank",0,G41/'Input Global'!G$20)</f>
        <v>0</v>
      </c>
      <c r="H118" s="99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99">
        <f>IF(LEFT($A$114,5)="blank",0,D42/'Input Global'!D$20)</f>
        <v>0</v>
      </c>
      <c r="E119" s="99">
        <f>IF(LEFT($A$114,5)="blank",0,E42/'Input Global'!E$20)</f>
        <v>0</v>
      </c>
      <c r="F119" s="99">
        <f>IF(LEFT($A$114,5)="blank",0,F42/'Input Global'!F$20)</f>
        <v>0</v>
      </c>
      <c r="G119" s="99">
        <f>IF(LEFT($A$114,5)="blank",0,G42/'Input Global'!G$20)</f>
        <v>0</v>
      </c>
      <c r="H119" s="99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95"/>
      <c r="E120" s="95"/>
      <c r="F120" s="95"/>
      <c r="G120" s="95"/>
      <c r="H120" s="95"/>
    </row>
    <row r="121" spans="1:8" hidden="1" x14ac:dyDescent="0.3">
      <c r="A121" s="11" t="str">
        <f t="shared" si="13"/>
        <v>Feed-in Tariffs</v>
      </c>
      <c r="C121" t="s">
        <v>11</v>
      </c>
      <c r="D121" s="99">
        <f>IF(LEFT($A$114,5)="blank",0,D44/'Input Global'!D$20)</f>
        <v>0</v>
      </c>
      <c r="E121" s="99">
        <f>IF(LEFT($A$114,5)="blank",0,E44/'Input Global'!E$20)</f>
        <v>0</v>
      </c>
      <c r="F121" s="99">
        <f>IF(LEFT($A$114,5)="blank",0,F44/'Input Global'!F$20)</f>
        <v>0</v>
      </c>
      <c r="G121" s="99">
        <f>IF(LEFT($A$114,5)="blank",0,G44/'Input Global'!G$20)</f>
        <v>0</v>
      </c>
      <c r="H121" s="99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99">
        <f>IF(LEFT($A$114,5)="blank",0,D45/'Input Global'!D$20)</f>
        <v>0</v>
      </c>
      <c r="E122" s="99">
        <f>IF(LEFT($A$114,5)="blank",0,E45/'Input Global'!E$20)</f>
        <v>0</v>
      </c>
      <c r="F122" s="99">
        <f>IF(LEFT($A$114,5)="blank",0,F45/'Input Global'!F$20)</f>
        <v>0</v>
      </c>
      <c r="G122" s="99">
        <f>IF(LEFT($A$114,5)="blank",0,G45/'Input Global'!G$20)</f>
        <v>0</v>
      </c>
      <c r="H122" s="99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99">
        <f>IF(LEFT($A$114,5)="blank",0,D46/'Input Global'!D$20)</f>
        <v>0</v>
      </c>
      <c r="E123" s="99">
        <f>IF(LEFT($A$114,5)="blank",0,E46/'Input Global'!E$20)</f>
        <v>0</v>
      </c>
      <c r="F123" s="99">
        <f>IF(LEFT($A$114,5)="blank",0,F46/'Input Global'!F$20)</f>
        <v>0</v>
      </c>
      <c r="G123" s="99">
        <f>IF(LEFT($A$114,5)="blank",0,G46/'Input Global'!G$20)</f>
        <v>0</v>
      </c>
      <c r="H123" s="99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99">
        <f>IF(LEFT($A$114,5)="blank",0,D47/'Input Global'!D$20)</f>
        <v>0</v>
      </c>
      <c r="E124" s="99">
        <f>IF(LEFT($A$114,5)="blank",0,E47/'Input Global'!E$20)</f>
        <v>0</v>
      </c>
      <c r="F124" s="99">
        <f>IF(LEFT($A$114,5)="blank",0,F47/'Input Global'!F$20)</f>
        <v>0</v>
      </c>
      <c r="G124" s="99">
        <f>IF(LEFT($A$114,5)="blank",0,G47/'Input Global'!G$20)</f>
        <v>0</v>
      </c>
      <c r="H124" s="99">
        <f>IF(LEFT($A$114,5)="blank",0,H47/'Input Global'!H$20)</f>
        <v>0</v>
      </c>
    </row>
    <row r="125" spans="1:8" hidden="1" x14ac:dyDescent="0.3">
      <c r="A125" s="11" t="str">
        <f t="shared" si="13"/>
        <v>Greenhouse gas abatement scheme</v>
      </c>
      <c r="C125" t="s">
        <v>11</v>
      </c>
      <c r="D125" s="99">
        <f>IF(LEFT($A$114,5)="blank",0,D48/'Input Global'!D$20)</f>
        <v>0</v>
      </c>
      <c r="E125" s="99">
        <f>IF(LEFT($A$114,5)="blank",0,E48/'Input Global'!E$20)</f>
        <v>0</v>
      </c>
      <c r="F125" s="99">
        <f>IF(LEFT($A$114,5)="blank",0,F48/'Input Global'!F$20)</f>
        <v>0</v>
      </c>
      <c r="G125" s="99">
        <f>IF(LEFT($A$114,5)="blank",0,G48/'Input Global'!G$20)</f>
        <v>0</v>
      </c>
      <c r="H125" s="99">
        <f>IF(LEFT($A$114,5)="blank",0,H48/'Input Global'!H$20)</f>
        <v>0</v>
      </c>
    </row>
    <row r="126" spans="1:8" hidden="1" x14ac:dyDescent="0.3">
      <c r="A126" s="11" t="str">
        <f t="shared" si="13"/>
        <v>Energy Savings</v>
      </c>
      <c r="C126" t="s">
        <v>11</v>
      </c>
      <c r="D126" s="99">
        <f>IF(LEFT($A$114,5)="blank",0,D49/'Input Global'!D$20)</f>
        <v>0</v>
      </c>
      <c r="E126" s="99">
        <f>IF(LEFT($A$114,5)="blank",0,E49/'Input Global'!E$20)</f>
        <v>0</v>
      </c>
      <c r="F126" s="99">
        <f>IF(LEFT($A$114,5)="blank",0,F49/'Input Global'!F$20)</f>
        <v>0</v>
      </c>
      <c r="G126" s="99">
        <f>IF(LEFT($A$114,5)="blank",0,G49/'Input Global'!G$20)</f>
        <v>0</v>
      </c>
      <c r="H126" s="99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99">
        <f>SUM(D115:D126)</f>
        <v>0</v>
      </c>
      <c r="E127" s="99">
        <f t="shared" ref="E127:H127" si="14">SUM(E115:E126)</f>
        <v>0</v>
      </c>
      <c r="F127" s="99">
        <f t="shared" si="14"/>
        <v>0</v>
      </c>
      <c r="G127" s="99">
        <f t="shared" si="14"/>
        <v>0</v>
      </c>
      <c r="H127" s="99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99">
        <f>IF(LEFT($A$129,5)="blank",0,D53/'Input Global'!D$21)</f>
        <v>0</v>
      </c>
      <c r="E130" s="99">
        <f>IF(LEFT($A$129,5)="blank",0,E53/'Input Global'!E$21)</f>
        <v>0</v>
      </c>
      <c r="F130" s="99">
        <f>IF(LEFT($A$129,5)="blank",0,F53/'Input Global'!F$21)</f>
        <v>0</v>
      </c>
      <c r="G130" s="99">
        <f>IF(LEFT($A$129,5)="blank",0,G53/'Input Global'!G$21)</f>
        <v>0</v>
      </c>
      <c r="H130" s="99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99">
        <f>IF(LEFT($A$129,5)="blank",0,D54/'Input Global'!D$21)</f>
        <v>0</v>
      </c>
      <c r="E131" s="99">
        <f>IF(LEFT($A$129,5)="blank",0,E54/'Input Global'!E$21)</f>
        <v>0</v>
      </c>
      <c r="F131" s="99">
        <f>IF(LEFT($A$129,5)="blank",0,F54/'Input Global'!F$21)</f>
        <v>0</v>
      </c>
      <c r="G131" s="99">
        <f>IF(LEFT($A$129,5)="blank",0,G54/'Input Global'!G$21)</f>
        <v>0</v>
      </c>
      <c r="H131" s="99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99">
        <f>IF(LEFT($A$129,5)="blank",0,D55/'Input Global'!D$21)</f>
        <v>0</v>
      </c>
      <c r="E132" s="99">
        <f>IF(LEFT($A$129,5)="blank",0,E55/'Input Global'!E$21)</f>
        <v>0</v>
      </c>
      <c r="F132" s="99">
        <f>IF(LEFT($A$129,5)="blank",0,F55/'Input Global'!F$21)</f>
        <v>0</v>
      </c>
      <c r="G132" s="99">
        <f>IF(LEFT($A$129,5)="blank",0,G55/'Input Global'!G$21)</f>
        <v>0</v>
      </c>
      <c r="H132" s="99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99">
        <f>IF(LEFT($A$129,5)="blank",0,D56/'Input Global'!D$21)</f>
        <v>0</v>
      </c>
      <c r="E133" s="99">
        <f>IF(LEFT($A$129,5)="blank",0,E56/'Input Global'!E$21)</f>
        <v>0</v>
      </c>
      <c r="F133" s="99">
        <f>IF(LEFT($A$129,5)="blank",0,F56/'Input Global'!F$21)</f>
        <v>0</v>
      </c>
      <c r="G133" s="99">
        <f>IF(LEFT($A$129,5)="blank",0,G56/'Input Global'!G$21)</f>
        <v>0</v>
      </c>
      <c r="H133" s="99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99">
        <f>IF(LEFT($A$129,5)="blank",0,D57/'Input Global'!D$21)</f>
        <v>0</v>
      </c>
      <c r="E134" s="99">
        <f>IF(LEFT($A$129,5)="blank",0,E57/'Input Global'!E$21)</f>
        <v>0</v>
      </c>
      <c r="F134" s="99">
        <f>IF(LEFT($A$129,5)="blank",0,F57/'Input Global'!F$21)</f>
        <v>0</v>
      </c>
      <c r="G134" s="99">
        <f>IF(LEFT($A$129,5)="blank",0,G57/'Input Global'!G$21)</f>
        <v>0</v>
      </c>
      <c r="H134" s="99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95"/>
      <c r="E135" s="95"/>
      <c r="F135" s="95"/>
      <c r="G135" s="95"/>
      <c r="H135" s="95"/>
    </row>
    <row r="136" spans="1:8" hidden="1" x14ac:dyDescent="0.3">
      <c r="A136" s="11" t="str">
        <f t="shared" si="15"/>
        <v>Feed-in Tariffs</v>
      </c>
      <c r="C136" t="s">
        <v>11</v>
      </c>
      <c r="D136" s="99">
        <f>IF(LEFT($A$129,5)="blank",0,D59/'Input Global'!D$21)</f>
        <v>0</v>
      </c>
      <c r="E136" s="99">
        <f>IF(LEFT($A$129,5)="blank",0,E59/'Input Global'!E$21)</f>
        <v>0</v>
      </c>
      <c r="F136" s="99">
        <f>IF(LEFT($A$129,5)="blank",0,F59/'Input Global'!F$21)</f>
        <v>0</v>
      </c>
      <c r="G136" s="99">
        <f>IF(LEFT($A$129,5)="blank",0,G59/'Input Global'!G$21)</f>
        <v>0</v>
      </c>
      <c r="H136" s="99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99">
        <f>IF(LEFT($A$129,5)="blank",0,D60/'Input Global'!D$21)</f>
        <v>0</v>
      </c>
      <c r="E137" s="99">
        <f>IF(LEFT($A$129,5)="blank",0,E60/'Input Global'!E$21)</f>
        <v>0</v>
      </c>
      <c r="F137" s="99">
        <f>IF(LEFT($A$129,5)="blank",0,F60/'Input Global'!F$21)</f>
        <v>0</v>
      </c>
      <c r="G137" s="99">
        <f>IF(LEFT($A$129,5)="blank",0,G60/'Input Global'!G$21)</f>
        <v>0</v>
      </c>
      <c r="H137" s="99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99">
        <f>IF(LEFT($A$129,5)="blank",0,D61/'Input Global'!D$21)</f>
        <v>0</v>
      </c>
      <c r="E138" s="99">
        <f>IF(LEFT($A$129,5)="blank",0,E61/'Input Global'!E$21)</f>
        <v>0</v>
      </c>
      <c r="F138" s="99">
        <f>IF(LEFT($A$129,5)="blank",0,F61/'Input Global'!F$21)</f>
        <v>0</v>
      </c>
      <c r="G138" s="99">
        <f>IF(LEFT($A$129,5)="blank",0,G61/'Input Global'!G$21)</f>
        <v>0</v>
      </c>
      <c r="H138" s="99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99">
        <f>IF(LEFT($A$129,5)="blank",0,D62/'Input Global'!D$21)</f>
        <v>0</v>
      </c>
      <c r="E139" s="99">
        <f>IF(LEFT($A$129,5)="blank",0,E62/'Input Global'!E$21)</f>
        <v>0</v>
      </c>
      <c r="F139" s="99">
        <f>IF(LEFT($A$129,5)="blank",0,F62/'Input Global'!F$21)</f>
        <v>0</v>
      </c>
      <c r="G139" s="99">
        <f>IF(LEFT($A$129,5)="blank",0,G62/'Input Global'!G$21)</f>
        <v>0</v>
      </c>
      <c r="H139" s="99">
        <f>IF(LEFT($A$129,5)="blank",0,H62/'Input Global'!H$21)</f>
        <v>0</v>
      </c>
    </row>
    <row r="140" spans="1:8" hidden="1" x14ac:dyDescent="0.3">
      <c r="A140" s="11" t="str">
        <f t="shared" si="15"/>
        <v>Greenhouse gas abatement scheme</v>
      </c>
      <c r="C140" t="s">
        <v>11</v>
      </c>
      <c r="D140" s="99">
        <f>IF(LEFT($A$129,5)="blank",0,D63/'Input Global'!D$21)</f>
        <v>0</v>
      </c>
      <c r="E140" s="99">
        <f>IF(LEFT($A$129,5)="blank",0,E63/'Input Global'!E$21)</f>
        <v>0</v>
      </c>
      <c r="F140" s="99">
        <f>IF(LEFT($A$129,5)="blank",0,F63/'Input Global'!F$21)</f>
        <v>0</v>
      </c>
      <c r="G140" s="99">
        <f>IF(LEFT($A$129,5)="blank",0,G63/'Input Global'!G$21)</f>
        <v>0</v>
      </c>
      <c r="H140" s="99">
        <f>IF(LEFT($A$129,5)="blank",0,H63/'Input Global'!H$21)</f>
        <v>0</v>
      </c>
    </row>
    <row r="141" spans="1:8" hidden="1" x14ac:dyDescent="0.3">
      <c r="A141" s="11" t="str">
        <f t="shared" si="15"/>
        <v>Energy Savings</v>
      </c>
      <c r="C141" t="s">
        <v>11</v>
      </c>
      <c r="D141" s="99">
        <f>IF(LEFT($A$129,5)="blank",0,D64/'Input Global'!D$21)</f>
        <v>0</v>
      </c>
      <c r="E141" s="99">
        <f>IF(LEFT($A$129,5)="blank",0,E64/'Input Global'!E$21)</f>
        <v>0</v>
      </c>
      <c r="F141" s="99">
        <f>IF(LEFT($A$129,5)="blank",0,F64/'Input Global'!F$21)</f>
        <v>0</v>
      </c>
      <c r="G141" s="99">
        <f>IF(LEFT($A$129,5)="blank",0,G64/'Input Global'!G$21)</f>
        <v>0</v>
      </c>
      <c r="H141" s="99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99">
        <f>SUM(D130:D141)</f>
        <v>0</v>
      </c>
      <c r="E142" s="99">
        <f t="shared" ref="E142:H142" si="16">SUM(E130:E141)</f>
        <v>0</v>
      </c>
      <c r="F142" s="99">
        <f t="shared" si="16"/>
        <v>0</v>
      </c>
      <c r="G142" s="99">
        <f t="shared" si="16"/>
        <v>0</v>
      </c>
      <c r="H142" s="99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99">
        <f>IF(LEFT($A$144,5)="blank",0,D68/'Input Global'!D$22)</f>
        <v>0</v>
      </c>
      <c r="E145" s="99">
        <f>IF(LEFT($A$144,5)="blank",0,E68/'Input Global'!E$22)</f>
        <v>0</v>
      </c>
      <c r="F145" s="99">
        <f>IF(LEFT($A$144,5)="blank",0,F68/'Input Global'!F$22)</f>
        <v>0</v>
      </c>
      <c r="G145" s="99">
        <f>IF(LEFT($A$144,5)="blank",0,G68/'Input Global'!G$22)</f>
        <v>0</v>
      </c>
      <c r="H145" s="99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99">
        <f>IF(LEFT($A$144,5)="blank",0,D69/'Input Global'!D$22)</f>
        <v>0</v>
      </c>
      <c r="E146" s="99">
        <f>IF(LEFT($A$144,5)="blank",0,E69/'Input Global'!E$22)</f>
        <v>0</v>
      </c>
      <c r="F146" s="99">
        <f>IF(LEFT($A$144,5)="blank",0,F69/'Input Global'!F$22)</f>
        <v>0</v>
      </c>
      <c r="G146" s="99">
        <f>IF(LEFT($A$144,5)="blank",0,G69/'Input Global'!G$22)</f>
        <v>0</v>
      </c>
      <c r="H146" s="99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99">
        <f>IF(LEFT($A$144,5)="blank",0,D70/'Input Global'!D$22)</f>
        <v>0</v>
      </c>
      <c r="E147" s="99">
        <f>IF(LEFT($A$144,5)="blank",0,E70/'Input Global'!E$22)</f>
        <v>0</v>
      </c>
      <c r="F147" s="99">
        <f>IF(LEFT($A$144,5)="blank",0,F70/'Input Global'!F$22)</f>
        <v>0</v>
      </c>
      <c r="G147" s="99">
        <f>IF(LEFT($A$144,5)="blank",0,G70/'Input Global'!G$22)</f>
        <v>0</v>
      </c>
      <c r="H147" s="99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99">
        <f>IF(LEFT($A$144,5)="blank",0,D71/'Input Global'!D$22)</f>
        <v>0</v>
      </c>
      <c r="E148" s="99">
        <f>IF(LEFT($A$144,5)="blank",0,E71/'Input Global'!E$22)</f>
        <v>0</v>
      </c>
      <c r="F148" s="99">
        <f>IF(LEFT($A$144,5)="blank",0,F71/'Input Global'!F$22)</f>
        <v>0</v>
      </c>
      <c r="G148" s="99">
        <f>IF(LEFT($A$144,5)="blank",0,G71/'Input Global'!G$22)</f>
        <v>0</v>
      </c>
      <c r="H148" s="99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99">
        <f>IF(LEFT($A$144,5)="blank",0,D72/'Input Global'!D$22)</f>
        <v>0</v>
      </c>
      <c r="E149" s="99">
        <f>IF(LEFT($A$144,5)="blank",0,E72/'Input Global'!E$22)</f>
        <v>0</v>
      </c>
      <c r="F149" s="99">
        <f>IF(LEFT($A$144,5)="blank",0,F72/'Input Global'!F$22)</f>
        <v>0</v>
      </c>
      <c r="G149" s="99">
        <f>IF(LEFT($A$144,5)="blank",0,G72/'Input Global'!G$22)</f>
        <v>0</v>
      </c>
      <c r="H149" s="99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95"/>
      <c r="E150" s="95"/>
      <c r="F150" s="95"/>
      <c r="G150" s="95"/>
      <c r="H150" s="95"/>
    </row>
    <row r="151" spans="1:8" hidden="1" x14ac:dyDescent="0.3">
      <c r="A151" s="11" t="str">
        <f t="shared" si="17"/>
        <v>Feed-in Tariffs</v>
      </c>
      <c r="C151" t="s">
        <v>11</v>
      </c>
      <c r="D151" s="99">
        <f>IF(LEFT($A$144,5)="blank",0,D74/'Input Global'!D$22)</f>
        <v>0</v>
      </c>
      <c r="E151" s="99">
        <f>IF(LEFT($A$144,5)="blank",0,E74/'Input Global'!E$22)</f>
        <v>0</v>
      </c>
      <c r="F151" s="99">
        <f>IF(LEFT($A$144,5)="blank",0,F74/'Input Global'!F$22)</f>
        <v>0</v>
      </c>
      <c r="G151" s="99">
        <f>IF(LEFT($A$144,5)="blank",0,G74/'Input Global'!G$22)</f>
        <v>0</v>
      </c>
      <c r="H151" s="99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99">
        <f>IF(LEFT($A$144,5)="blank",0,D75/'Input Global'!D$22)</f>
        <v>0</v>
      </c>
      <c r="E152" s="99">
        <f>IF(LEFT($A$144,5)="blank",0,E75/'Input Global'!E$22)</f>
        <v>0</v>
      </c>
      <c r="F152" s="99">
        <f>IF(LEFT($A$144,5)="blank",0,F75/'Input Global'!F$22)</f>
        <v>0</v>
      </c>
      <c r="G152" s="99">
        <f>IF(LEFT($A$144,5)="blank",0,G75/'Input Global'!G$22)</f>
        <v>0</v>
      </c>
      <c r="H152" s="99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99">
        <f>IF(LEFT($A$144,5)="blank",0,D76/'Input Global'!D$22)</f>
        <v>0</v>
      </c>
      <c r="E153" s="99">
        <f>IF(LEFT($A$144,5)="blank",0,E76/'Input Global'!E$22)</f>
        <v>0</v>
      </c>
      <c r="F153" s="99">
        <f>IF(LEFT($A$144,5)="blank",0,F76/'Input Global'!F$22)</f>
        <v>0</v>
      </c>
      <c r="G153" s="99">
        <f>IF(LEFT($A$144,5)="blank",0,G76/'Input Global'!G$22)</f>
        <v>0</v>
      </c>
      <c r="H153" s="99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99">
        <f>IF(LEFT($A$144,5)="blank",0,D77/'Input Global'!D$22)</f>
        <v>0</v>
      </c>
      <c r="E154" s="99">
        <f>IF(LEFT($A$144,5)="blank",0,E77/'Input Global'!E$22)</f>
        <v>0</v>
      </c>
      <c r="F154" s="99">
        <f>IF(LEFT($A$144,5)="blank",0,F77/'Input Global'!F$22)</f>
        <v>0</v>
      </c>
      <c r="G154" s="99">
        <f>IF(LEFT($A$144,5)="blank",0,G77/'Input Global'!G$22)</f>
        <v>0</v>
      </c>
      <c r="H154" s="99">
        <f>IF(LEFT($A$144,5)="blank",0,H77/'Input Global'!H$22)</f>
        <v>0</v>
      </c>
    </row>
    <row r="155" spans="1:8" hidden="1" x14ac:dyDescent="0.3">
      <c r="A155" s="11" t="str">
        <f t="shared" si="17"/>
        <v>Greenhouse gas abatement scheme</v>
      </c>
      <c r="C155" t="s">
        <v>11</v>
      </c>
      <c r="D155" s="99">
        <f>IF(LEFT($A$144,5)="blank",0,D78/'Input Global'!D$22)</f>
        <v>0</v>
      </c>
      <c r="E155" s="99">
        <f>IF(LEFT($A$144,5)="blank",0,E78/'Input Global'!E$22)</f>
        <v>0</v>
      </c>
      <c r="F155" s="99">
        <f>IF(LEFT($A$144,5)="blank",0,F78/'Input Global'!F$22)</f>
        <v>0</v>
      </c>
      <c r="G155" s="99">
        <f>IF(LEFT($A$144,5)="blank",0,G78/'Input Global'!G$22)</f>
        <v>0</v>
      </c>
      <c r="H155" s="99">
        <f>IF(LEFT($A$144,5)="blank",0,H78/'Input Global'!H$22)</f>
        <v>0</v>
      </c>
    </row>
    <row r="156" spans="1:8" hidden="1" x14ac:dyDescent="0.3">
      <c r="A156" s="11" t="str">
        <f t="shared" si="17"/>
        <v>Energy Savings</v>
      </c>
      <c r="C156" t="s">
        <v>11</v>
      </c>
      <c r="D156" s="99">
        <f>IF(LEFT($A$144,5)="blank",0,D79/'Input Global'!D$22)</f>
        <v>0</v>
      </c>
      <c r="E156" s="99">
        <f>IF(LEFT($A$144,5)="blank",0,E79/'Input Global'!E$22)</f>
        <v>0</v>
      </c>
      <c r="F156" s="99">
        <f>IF(LEFT($A$144,5)="blank",0,F79/'Input Global'!F$22)</f>
        <v>0</v>
      </c>
      <c r="G156" s="99">
        <f>IF(LEFT($A$144,5)="blank",0,G79/'Input Global'!G$22)</f>
        <v>0</v>
      </c>
      <c r="H156" s="99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99">
        <f>SUM(D145:D156)</f>
        <v>0</v>
      </c>
      <c r="E157" s="99">
        <f t="shared" ref="E157:H157" si="18">SUM(E145:E156)</f>
        <v>0</v>
      </c>
      <c r="F157" s="99">
        <f t="shared" si="18"/>
        <v>0</v>
      </c>
      <c r="G157" s="99">
        <f t="shared" si="18"/>
        <v>0</v>
      </c>
      <c r="H157" s="99">
        <f t="shared" si="18"/>
        <v>0</v>
      </c>
    </row>
    <row r="159" spans="1:8" ht="18.75" x14ac:dyDescent="0.3">
      <c r="A159" s="1" t="s">
        <v>69</v>
      </c>
    </row>
    <row r="160" spans="1:8" x14ac:dyDescent="0.3">
      <c r="A160" t="str">
        <f>Dist1</f>
        <v>ActewAGL</v>
      </c>
      <c r="B160" t="s">
        <v>37</v>
      </c>
      <c r="C160" t="s">
        <v>23</v>
      </c>
      <c r="D160" s="100">
        <f>'Input Global'!D25/'Input Global'!D$30</f>
        <v>1</v>
      </c>
      <c r="E160" s="100">
        <f>'Input Global'!E25/'Input Global'!E$30</f>
        <v>1</v>
      </c>
      <c r="F160" s="100">
        <f>'Input Global'!F25/'Input Global'!F$30</f>
        <v>1</v>
      </c>
      <c r="G160" s="100">
        <f>'Input Global'!G25/'Input Global'!G$30</f>
        <v>1</v>
      </c>
      <c r="H160" s="100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0">
        <f>'Input Global'!D26/'Input Global'!D$30</f>
        <v>0</v>
      </c>
      <c r="E161" s="100">
        <f>'Input Global'!E26/'Input Global'!E$30</f>
        <v>0</v>
      </c>
      <c r="F161" s="100">
        <f>'Input Global'!F26/'Input Global'!F$30</f>
        <v>0</v>
      </c>
      <c r="G161" s="100">
        <f>'Input Global'!G26/'Input Global'!G$30</f>
        <v>0</v>
      </c>
      <c r="H161" s="100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0">
        <f>'Input Global'!D27/'Input Global'!D$30</f>
        <v>0</v>
      </c>
      <c r="E162" s="100">
        <f>'Input Global'!E27/'Input Global'!E$30</f>
        <v>0</v>
      </c>
      <c r="F162" s="100">
        <f>'Input Global'!F27/'Input Global'!F$30</f>
        <v>0</v>
      </c>
      <c r="G162" s="100">
        <f>'Input Global'!G27/'Input Global'!G$30</f>
        <v>0</v>
      </c>
      <c r="H162" s="100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0">
        <f>'Input Global'!D28/'Input Global'!D$30</f>
        <v>0</v>
      </c>
      <c r="E163" s="100">
        <f>'Input Global'!E28/'Input Global'!E$30</f>
        <v>0</v>
      </c>
      <c r="F163" s="100">
        <f>'Input Global'!F28/'Input Global'!F$30</f>
        <v>0</v>
      </c>
      <c r="G163" s="100">
        <f>'Input Global'!G28/'Input Global'!G$30</f>
        <v>0</v>
      </c>
      <c r="H163" s="100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0">
        <f>'Input Global'!D29/'Input Global'!D$30</f>
        <v>0</v>
      </c>
      <c r="E164" s="100">
        <f>'Input Global'!E29/'Input Global'!E$30</f>
        <v>0</v>
      </c>
      <c r="F164" s="100">
        <f>'Input Global'!F29/'Input Global'!F$30</f>
        <v>0</v>
      </c>
      <c r="G164" s="100">
        <f>'Input Global'!G29/'Input Global'!G$30</f>
        <v>0</v>
      </c>
      <c r="H164" s="100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65"/>
  <sheetViews>
    <sheetView zoomScaleNormal="100" workbookViewId="0">
      <pane xSplit="3" ySplit="4" topLeftCell="D5" activePane="bottomRight" state="frozenSplit"/>
      <selection activeCell="G175" sqref="G175"/>
      <selection pane="topRight" activeCell="G175" sqref="G175"/>
      <selection pane="bottomLeft" activeCell="G175" sqref="G175"/>
      <selection pane="bottomRight" activeCell="G175" sqref="G175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89" bestFit="1" customWidth="1"/>
    <col min="5" max="5" width="11.5703125" style="89" bestFit="1" customWidth="1"/>
    <col min="6" max="6" width="12.7109375" style="89" bestFit="1" customWidth="1"/>
    <col min="7" max="7" width="10.42578125" style="89" bestFit="1" customWidth="1"/>
    <col min="8" max="8" width="12" style="89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ACT</v>
      </c>
      <c r="C1" s="5"/>
      <c r="D1" s="91"/>
      <c r="E1" s="91"/>
      <c r="F1" s="91"/>
      <c r="G1" s="90"/>
      <c r="H1" s="90"/>
      <c r="I1" s="72" t="s">
        <v>31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Slow Rate)</v>
      </c>
      <c r="C2" s="3"/>
      <c r="D2" s="92"/>
      <c r="E2" s="92"/>
      <c r="F2" s="92"/>
      <c r="G2" s="90"/>
      <c r="H2" s="90"/>
      <c r="I2" s="78" t="s">
        <v>25</v>
      </c>
    </row>
    <row r="3" spans="1:16" s="2" customFormat="1" ht="17.25" thickBot="1" x14ac:dyDescent="0.35">
      <c r="D3" s="90"/>
      <c r="E3" s="90"/>
      <c r="F3" s="90"/>
      <c r="G3" s="90"/>
      <c r="H3" s="90"/>
      <c r="I3" s="79" t="s">
        <v>32</v>
      </c>
    </row>
    <row r="4" spans="1:16" s="2" customFormat="1" ht="15" x14ac:dyDescent="0.25">
      <c r="B4" s="6"/>
      <c r="C4" s="6" t="s">
        <v>8</v>
      </c>
      <c r="D4" s="93" t="str">
        <f>'Input Global'!D4</f>
        <v>2010/11</v>
      </c>
      <c r="E4" s="93" t="str">
        <f>'Input Global'!E4</f>
        <v>2011/12</v>
      </c>
      <c r="F4" s="93" t="str">
        <f>'Input Global'!F4</f>
        <v>2012/13</v>
      </c>
      <c r="G4" s="93" t="str">
        <f>'Input Global'!G4</f>
        <v>2013/14</v>
      </c>
      <c r="H4" s="93" t="str">
        <f>'Input Global'!H4</f>
        <v>2014/15</v>
      </c>
    </row>
    <row r="6" spans="1:16" ht="18.75" x14ac:dyDescent="0.3">
      <c r="A6" s="1" t="s">
        <v>38</v>
      </c>
      <c r="B6" s="1" t="s">
        <v>42</v>
      </c>
    </row>
    <row r="7" spans="1:16" x14ac:dyDescent="0.3">
      <c r="A7" s="8" t="str">
        <f>Dist1</f>
        <v>ActewAGL</v>
      </c>
    </row>
    <row r="8" spans="1:16" x14ac:dyDescent="0.3">
      <c r="A8" t="str">
        <f>'Calc (Jurisdiction)'!A8</f>
        <v>Wholesale</v>
      </c>
      <c r="C8" t="s">
        <v>57</v>
      </c>
      <c r="D8" s="99">
        <f ca="1">VLOOKUP($B$2,dist1wholesale,COLUMN('Calc (Jurisdiction)'!D8),FALSE)*'Input Global'!D18</f>
        <v>52159.420844799999</v>
      </c>
      <c r="E8" s="99">
        <f ca="1">VLOOKUP($B$2,dist1wholesale,COLUMN('Calc (Jurisdiction)'!E8),FALSE)*'Input Global'!E18</f>
        <v>48555.799904</v>
      </c>
      <c r="F8" s="99">
        <f ca="1">VLOOKUP($B$2,dist1wholesale,COLUMN('Calc (Jurisdiction)'!F8),FALSE)*'Input Global'!F18</f>
        <v>44237.736200000007</v>
      </c>
      <c r="G8" s="99">
        <f ca="1">VLOOKUP($B$2,dist1wholesale,COLUMN('Calc (Jurisdiction)'!G8),FALSE)*'Input Global'!G18</f>
        <v>43283.575460855878</v>
      </c>
      <c r="H8" s="99">
        <f ca="1">VLOOKUP($B$2,dist1wholesale,COLUMN('Calc (Jurisdiction)'!H8),FALSE)*'Input Global'!H18</f>
        <v>41714.743125154899</v>
      </c>
    </row>
    <row r="9" spans="1:16" x14ac:dyDescent="0.3">
      <c r="A9" t="str">
        <f>'Calc (Jurisdiction)'!A9</f>
        <v>Transmission</v>
      </c>
      <c r="C9" t="s">
        <v>57</v>
      </c>
      <c r="D9" s="99">
        <f>'Input General'!D8+(SUMPRODUCT('Input General'!D9:D12,'Input General'!D35:D38)*'Input Global'!D18)</f>
        <v>9371.2440000000006</v>
      </c>
      <c r="E9" s="99">
        <f>'Input General'!E8+(SUMPRODUCT('Input General'!E9:E12,'Input General'!E35:E38)*'Input Global'!E18)</f>
        <v>11230.812</v>
      </c>
      <c r="F9" s="99">
        <f>'Input General'!F8+(SUMPRODUCT('Input General'!F9:F12,'Input General'!F35:F38)*'Input Global'!F18)</f>
        <v>13481.868</v>
      </c>
      <c r="G9" s="99">
        <f>'Input General'!G8+(SUMPRODUCT('Input General'!G9:G12,'Input General'!G35:G38)*'Input Global'!G18)</f>
        <v>14421.102583666005</v>
      </c>
      <c r="H9" s="99">
        <f>'Input General'!H8+(SUMPRODUCT('Input General'!H9:H12,'Input General'!H35:H38)*'Input Global'!H18)</f>
        <v>15425.770355311175</v>
      </c>
    </row>
    <row r="10" spans="1:16" x14ac:dyDescent="0.3">
      <c r="A10" t="str">
        <f>'Calc (Jurisdiction)'!A10</f>
        <v>Distribution</v>
      </c>
      <c r="C10" t="s">
        <v>57</v>
      </c>
      <c r="D10" s="99">
        <f>'Input General'!D16+SUMPRODUCT('Input General'!D17:D20,'Input General'!D35:D38)*'Input Global'!D18+'Input General'!D23</f>
        <v>48123.356</v>
      </c>
      <c r="E10" s="99">
        <f>'Input General'!E16+SUMPRODUCT('Input General'!E17:E20,'Input General'!E35:E38)*'Input Global'!E18+'Input General'!E23</f>
        <v>47748.006841843089</v>
      </c>
      <c r="F10" s="99">
        <f>'Input General'!F16+SUMPRODUCT('Input General'!F17:F20,'Input General'!F35:F38)*'Input Global'!F18+'Input General'!F23</f>
        <v>49764.360297109823</v>
      </c>
      <c r="G10" s="99">
        <f>'Input General'!G16+SUMPRODUCT('Input General'!G17:G20,'Input General'!G35:G38)*'Input Global'!G18+'Input General'!G23</f>
        <v>53122.695849794043</v>
      </c>
      <c r="H10" s="99">
        <f>'Input General'!H16+SUMPRODUCT('Input General'!H17:H20,'Input General'!H35:H38)*'Input Global'!H18+'Input General'!H23</f>
        <v>57132.021704274601</v>
      </c>
      <c r="P10" s="9"/>
    </row>
    <row r="11" spans="1:16" x14ac:dyDescent="0.3">
      <c r="A11" t="str">
        <f>'Calc (Jurisdiction)'!A11</f>
        <v>Retail</v>
      </c>
      <c r="C11" t="s">
        <v>57</v>
      </c>
      <c r="D11" s="99">
        <f>'Input General'!D42*'Input Global'!D18</f>
        <v>8612.7360000000008</v>
      </c>
      <c r="E11" s="99">
        <f>'Input General'!E42*'Input Global'!E18</f>
        <v>8857.4160000000011</v>
      </c>
      <c r="F11" s="99">
        <f>'Input General'!F42*'Input Global'!F18</f>
        <v>9078.8513999999996</v>
      </c>
      <c r="G11" s="99">
        <f>'Input General'!G42*'Input Global'!G18</f>
        <v>9305.8226849999974</v>
      </c>
      <c r="H11" s="99">
        <f>'Input General'!H42*'Input Global'!H18</f>
        <v>9538.4682521249961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57</v>
      </c>
      <c r="D12" s="99">
        <f ca="1">VLOOKUP($B$2,'Input General'!$A$59:$H$61,COLUMN(D12),FALSE)*'Input Global'!D33</f>
        <v>6659.4677496191998</v>
      </c>
      <c r="E12" s="99">
        <f ca="1">VLOOKUP($B$2,'Input General'!$A$59:$H$61,COLUMN(E12),FALSE)*'Input Global'!E33</f>
        <v>7059.7676468159998</v>
      </c>
      <c r="F12" s="99">
        <f ca="1">VLOOKUP($B$2,'Input General'!$A$59:$H$61,COLUMN(F12),FALSE)*'Input Global'!F33</f>
        <v>7965.0234143999996</v>
      </c>
      <c r="G12" s="99">
        <f ca="1">VLOOKUP($B$2,'Input General'!$A$59:$H$61,COLUMN(G12),FALSE)*'Input Global'!G33</f>
        <v>8274.4638485914111</v>
      </c>
      <c r="H12" s="99">
        <f ca="1">VLOOKUP($B$2,'Input General'!$A$59:$H$61,COLUMN(H12),FALSE)*'Input Global'!H33</f>
        <v>8454.4226903040981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95"/>
      <c r="E13" s="95"/>
      <c r="F13" s="95"/>
      <c r="G13" s="95"/>
      <c r="H13" s="95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57</v>
      </c>
      <c r="D14" s="99">
        <f>'Input General'!D27+SUMPRODUCT('Input General'!D28:D31,'Input General'!D35:D38)*'Input Global'!D18</f>
        <v>0</v>
      </c>
      <c r="E14" s="99">
        <f>'Input General'!E27+SUMPRODUCT('Input General'!E28:E31,'Input General'!E35:E38)*'Input Global'!E18</f>
        <v>2705.7911581569115</v>
      </c>
      <c r="F14" s="99">
        <f>'Input General'!F27+SUMPRODUCT('Input General'!F28:F31,'Input General'!F35:F38)*'Input Global'!F18</f>
        <v>3362.1817028901728</v>
      </c>
      <c r="G14" s="99">
        <f>'Input General'!G27+SUMPRODUCT('Input General'!G28:G31,'Input General'!G35:G38)*'Input Global'!G18</f>
        <v>4019.9333354609507</v>
      </c>
      <c r="H14" s="99">
        <f>'Input General'!H27+SUMPRODUCT('Input General'!H28:H31,'Input General'!H35:H38)*'Input Global'!H18</f>
        <v>4343.3470221321231</v>
      </c>
    </row>
    <row r="15" spans="1:16" x14ac:dyDescent="0.3">
      <c r="A15" s="11" t="str">
        <f>'Calc (Jurisdiction)'!A15</f>
        <v>Carbon costs</v>
      </c>
      <c r="C15" t="s">
        <v>57</v>
      </c>
      <c r="D15" s="99">
        <f ca="1">VLOOKUP($B$2,'Input General'!$A$66:$H$68, COLUMN('Input General'!D66),FALSE)*'Input Global'!D$18</f>
        <v>0</v>
      </c>
      <c r="E15" s="99">
        <f ca="1">VLOOKUP($B$2,'Input General'!$A$66:$H$68, COLUMN('Input General'!E66),FALSE)*'Input Global'!E$18</f>
        <v>0</v>
      </c>
      <c r="F15" s="99">
        <f ca="1">VLOOKUP($B$2,'Input General'!$A$66:$H$68, COLUMN('Input General'!F66),FALSE)*'Input Global'!F$18</f>
        <v>17274.407999999999</v>
      </c>
      <c r="G15" s="99">
        <f ca="1">VLOOKUP($B$2,'Input General'!$A$66:$H$68, COLUMN('Input General'!G66),FALSE)*'Input Global'!G$18</f>
        <v>20193.702888669555</v>
      </c>
      <c r="H15" s="99">
        <f ca="1">VLOOKUP($B$2,'Input General'!$A$66:$H$68, COLUMN('Input General'!H66),FALSE)*'Input Global'!H$18</f>
        <v>18952.64812966693</v>
      </c>
      <c r="I15" s="10"/>
    </row>
    <row r="16" spans="1:16" x14ac:dyDescent="0.3">
      <c r="A16" s="11" t="str">
        <f>'Calc (Jurisdiction)'!A16</f>
        <v>Large Scale Renewable Energy Target</v>
      </c>
      <c r="C16" t="s">
        <v>57</v>
      </c>
      <c r="D16" s="99">
        <f ca="1">VLOOKUP($B$2,'Input General'!$A77:$H80,COLUMN(D16),FALSE)*'Input Global'!D18</f>
        <v>1587.4438748913988</v>
      </c>
      <c r="E16" s="99">
        <f ca="1">VLOOKUP($B$2,'Input General'!$A77:$H80,COLUMN(E16),FALSE)*'Input Global'!E18</f>
        <v>4050.2936924413557</v>
      </c>
      <c r="F16" s="99">
        <f ca="1">VLOOKUP($B$2,'Input General'!$A77:$H80,COLUMN(F16),FALSE)*'Input Global'!F18</f>
        <v>3547.8599999999997</v>
      </c>
      <c r="G16" s="99">
        <f ca="1">VLOOKUP($B$2,'Input General'!$A77:$H80,COLUMN(G16),FALSE)*'Input Global'!G18</f>
        <v>3801.7327172234895</v>
      </c>
      <c r="H16" s="99">
        <f ca="1">VLOOKUP($B$2,'Input General'!$A77:$H80,COLUMN(H16),FALSE)*'Input Global'!H18</f>
        <v>4025.869204613336</v>
      </c>
      <c r="I16" s="10"/>
    </row>
    <row r="17" spans="1:9" x14ac:dyDescent="0.3">
      <c r="A17" s="11" t="str">
        <f>'Calc (Jurisdiction)'!A17</f>
        <v>Small Scale Renewable Energy Scheme</v>
      </c>
      <c r="C17" t="s">
        <v>57</v>
      </c>
      <c r="D17" s="99">
        <f ca="1">'Input General'!D43*'Input Global'!D18</f>
        <v>2612.8961251086021</v>
      </c>
      <c r="E17" s="99">
        <f ca="1">'Input General'!E43*'Input Global'!E18</f>
        <v>6666.6903075586461</v>
      </c>
      <c r="F17" s="99">
        <f ca="1">'Input General'!F43*'Input Global'!F18</f>
        <v>5839.6959999999999</v>
      </c>
      <c r="G17" s="99">
        <f ca="1">'Input General'!G43*'Input Global'!G18</f>
        <v>2570.1984902821314</v>
      </c>
      <c r="H17" s="99">
        <f ca="1">'Input General'!H43*'Input Global'!H18</f>
        <v>2233.3633605015671</v>
      </c>
      <c r="I17" s="10"/>
    </row>
    <row r="18" spans="1:9" x14ac:dyDescent="0.3">
      <c r="A18" s="11" t="str">
        <f>'Calc (Jurisdiction)'!A18</f>
        <v>Greenhouse gas abatement scheme</v>
      </c>
      <c r="C18" t="s">
        <v>57</v>
      </c>
      <c r="D18" s="99">
        <f ca="1">VLOOKUP($B$2,'Input General'!$A$47:$H$49,COLUMN(D18),FALSE)*'Input Global'!D$18</f>
        <v>856.38</v>
      </c>
      <c r="E18" s="99">
        <f ca="1">VLOOKUP($B$2,'Input General'!$A$47:$H$49,COLUMN(E18),FALSE)*'Input Global'!E$18</f>
        <v>921.62799999999993</v>
      </c>
      <c r="F18" s="99">
        <f ca="1">VLOOKUP($B$2,'Input General'!$A$47:$H$49,COLUMN(F18),FALSE)*'Input Global'!F$18</f>
        <v>0</v>
      </c>
      <c r="G18" s="99">
        <f ca="1">VLOOKUP($B$2,'Input General'!$A$47:$H$49,COLUMN(G18),FALSE)*'Input Global'!G$18</f>
        <v>0</v>
      </c>
      <c r="H18" s="99">
        <f ca="1">VLOOKUP($B$2,'Input General'!$A$47:$H$49,COLUMN(H18),FALSE)*'Input Global'!H$18</f>
        <v>0</v>
      </c>
      <c r="I18" s="10"/>
    </row>
    <row r="19" spans="1:9" x14ac:dyDescent="0.3">
      <c r="A19" s="11" t="str">
        <f>'Calc (Jurisdiction)'!A19</f>
        <v>Energy Savings</v>
      </c>
      <c r="C19" t="s">
        <v>57</v>
      </c>
      <c r="D19" s="99">
        <f ca="1">VLOOKUP($B$2,'Input General'!$A$53:$H$55,COLUMN(D19),FALSE)*'Input Global'!D$18</f>
        <v>0</v>
      </c>
      <c r="E19" s="99">
        <f ca="1">VLOOKUP($B$2,'Input General'!$A$53:$H$55,COLUMN(E19),FALSE)*'Input Global'!E$18</f>
        <v>0</v>
      </c>
      <c r="F19" s="99">
        <f ca="1">VLOOKUP($B$2,'Input General'!$A$53:$H$55,COLUMN(F19),FALSE)*'Input Global'!F$18</f>
        <v>913.47200000000009</v>
      </c>
      <c r="G19" s="99">
        <f ca="1">VLOOKUP($B$2,'Input General'!$A$53:$H$55,COLUMN(G19),FALSE)*'Input Global'!G$18</f>
        <v>2512.0479999999998</v>
      </c>
      <c r="H19" s="99">
        <f ca="1">VLOOKUP($B$2,'Input General'!$A$53:$H$55,COLUMN(H19),FALSE)*'Input Global'!H$18</f>
        <v>3197.1520000000005</v>
      </c>
      <c r="I19" s="10"/>
    </row>
    <row r="20" spans="1:9" x14ac:dyDescent="0.3">
      <c r="A20" s="15" t="s">
        <v>55</v>
      </c>
      <c r="B20" s="12"/>
      <c r="C20" s="12" t="s">
        <v>57</v>
      </c>
      <c r="D20" s="99">
        <f ca="1">SUM(D8:D19)</f>
        <v>129982.9445944192</v>
      </c>
      <c r="E20" s="99">
        <f t="shared" ref="E20:H20" ca="1" si="0">SUM(E8:E19)</f>
        <v>137796.205550816</v>
      </c>
      <c r="F20" s="99">
        <f t="shared" ca="1" si="0"/>
        <v>155465.45701439999</v>
      </c>
      <c r="G20" s="99">
        <f t="shared" ca="1" si="0"/>
        <v>161505.2758595435</v>
      </c>
      <c r="H20" s="99">
        <f t="shared" ca="1" si="0"/>
        <v>165017.80584408369</v>
      </c>
    </row>
    <row r="21" spans="1:9" hidden="1" x14ac:dyDescent="0.3">
      <c r="D21" s="94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57</v>
      </c>
      <c r="D23" s="99">
        <f>IF(LEFT($A$22,5)="blank",0,VLOOKUP($B$2,dist2wholesale,COLUMN(D8),FALSE)*'Input Global'!D19)</f>
        <v>0</v>
      </c>
      <c r="E23" s="99">
        <f>IF(LEFT($A$22,5)="blank",0,VLOOKUP($B$2,dist2wholesale,COLUMN(E8),FALSE)*'Input Global'!E19)</f>
        <v>0</v>
      </c>
      <c r="F23" s="99">
        <f>IF(LEFT($A$22,5)="blank",0,VLOOKUP($B$2,dist2wholesale,COLUMN(F8),FALSE)*'Input Global'!F19)</f>
        <v>0</v>
      </c>
      <c r="G23" s="99">
        <f>IF(LEFT($A$22,5)="blank",0,VLOOKUP($B$2,dist2wholesale,COLUMN(G8),FALSE)*'Input Global'!G19)</f>
        <v>0</v>
      </c>
      <c r="H23" s="99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57</v>
      </c>
      <c r="D24" s="99">
        <f>IF(LEFT($A$22,5)="blank",0,'Input General'!#REF!+(SUMPRODUCT('Input General'!#REF!,'Input General'!#REF!)*'Input Global'!D19))</f>
        <v>0</v>
      </c>
      <c r="E24" s="99">
        <f>IF(LEFT($A$22,5)="blank",0,'Input General'!#REF!+(SUMPRODUCT('Input General'!#REF!,'Input General'!#REF!)*'Input Global'!E19))</f>
        <v>0</v>
      </c>
      <c r="F24" s="99">
        <f>IF(LEFT($A$22,5)="blank",0,'Input General'!#REF!+(SUMPRODUCT('Input General'!#REF!,'Input General'!#REF!)*'Input Global'!F19))</f>
        <v>0</v>
      </c>
      <c r="G24" s="99">
        <f>IF(LEFT($A$22,5)="blank",0,'Input General'!#REF!+(SUMPRODUCT('Input General'!#REF!,'Input General'!#REF!)*'Input Global'!G19))</f>
        <v>0</v>
      </c>
      <c r="H24" s="99">
        <f>IF(LEFT($A$22,5)="blank",0,'Input General'!#REF!+(SUMPRODUCT('Input General'!#REF!,'Input General'!#REF!)*'Input Global'!H19))</f>
        <v>0</v>
      </c>
    </row>
    <row r="25" spans="1:9" hidden="1" x14ac:dyDescent="0.3">
      <c r="A25" t="str">
        <f t="shared" si="1"/>
        <v>Distribution</v>
      </c>
      <c r="C25" t="s">
        <v>57</v>
      </c>
      <c r="D25" s="99">
        <f>IF(LEFT($A$22,5)="blank",0,'Input General'!#REF!+SUMPRODUCT('Input General'!#REF!,'Input General'!#REF!)*'Input Global'!D19+'Input General'!#REF!)</f>
        <v>0</v>
      </c>
      <c r="E25" s="99">
        <f>IF(LEFT($A$22,5)="blank",0,'Input General'!#REF!+SUMPRODUCT('Input General'!#REF!,'Input General'!#REF!)*'Input Global'!E19+'Input General'!#REF!)</f>
        <v>0</v>
      </c>
      <c r="F25" s="99">
        <f>IF(LEFT($A$22,5)="blank",0,'Input General'!#REF!+SUMPRODUCT('Input General'!#REF!,'Input General'!#REF!)*'Input Global'!F19+'Input General'!#REF!)</f>
        <v>0</v>
      </c>
      <c r="G25" s="99">
        <f>IF(LEFT($A$22,5)="blank",0,'Input General'!#REF!+SUMPRODUCT('Input General'!#REF!,'Input General'!#REF!)*'Input Global'!G19+'Input General'!#REF!)</f>
        <v>0</v>
      </c>
      <c r="H25" s="99">
        <f>IF(LEFT($A$22,5)="blank",0,'Input General'!#REF!+SUMPRODUCT('Input General'!#REF!,'Input General'!#REF!)*'Input Global'!H19+'Input General'!#REF!)</f>
        <v>0</v>
      </c>
    </row>
    <row r="26" spans="1:9" hidden="1" x14ac:dyDescent="0.3">
      <c r="A26" t="str">
        <f t="shared" si="1"/>
        <v>Retail</v>
      </c>
      <c r="C26" t="s">
        <v>57</v>
      </c>
      <c r="D26" s="99">
        <f>IF(LEFT($A$22,5)="blank",0,'Input General'!#REF!*'Input Global'!D19)</f>
        <v>0</v>
      </c>
      <c r="E26" s="99">
        <f>IF(LEFT($A$22,5)="blank",0,'Input General'!#REF!*'Input Global'!E19)</f>
        <v>0</v>
      </c>
      <c r="F26" s="99">
        <f>IF(LEFT($A$22,5)="blank",0,'Input General'!#REF!*'Input Global'!F19)</f>
        <v>0</v>
      </c>
      <c r="G26" s="99">
        <f>IF(LEFT($A$22,5)="blank",0,'Input General'!#REF!*'Input Global'!G19)</f>
        <v>0</v>
      </c>
      <c r="H26" s="99">
        <f>IF(LEFT($A$22,5)="blank",0,'Input General'!#REF!*'Input Global'!H19)</f>
        <v>0</v>
      </c>
    </row>
    <row r="27" spans="1:9" hidden="1" x14ac:dyDescent="0.3">
      <c r="A27" t="str">
        <f t="shared" si="1"/>
        <v>Retail and Residual</v>
      </c>
      <c r="C27" t="s">
        <v>57</v>
      </c>
      <c r="D27" s="99">
        <f>IF(LEFT($A$22,5)="blank",0,VLOOKUP($B$2,'Input General'!#REF!,COLUMN(D12),FALSE)*'Input Global'!D$34)</f>
        <v>0</v>
      </c>
      <c r="E27" s="99">
        <f>IF(LEFT($A$22,5)="blank",0,VLOOKUP($B$2,'Input General'!#REF!,COLUMN(E12),FALSE)*'Input Global'!E$34)</f>
        <v>0</v>
      </c>
      <c r="F27" s="99">
        <f>IF(LEFT($A$22,5)="blank",0,VLOOKUP($B$2,'Input General'!#REF!,COLUMN(F12),FALSE)*'Input Global'!F$34)</f>
        <v>0</v>
      </c>
      <c r="G27" s="99">
        <f>IF(LEFT($A$22,5)="blank",0,VLOOKUP($B$2,'Input General'!#REF!,COLUMN(G12),FALSE)*'Input Global'!G$34)</f>
        <v>0</v>
      </c>
      <c r="H27" s="99">
        <f>IF(LEFT($A$22,5)="blank",0,VLOOKUP($B$2,'Input General'!#REF!,COLUMN(H12),FALSE)*'Input Global'!H$34)</f>
        <v>0</v>
      </c>
    </row>
    <row r="28" spans="1:9" hidden="1" x14ac:dyDescent="0.3">
      <c r="A28" t="str">
        <f t="shared" si="1"/>
        <v>Green Schemes</v>
      </c>
      <c r="D28" s="95"/>
      <c r="E28" s="95"/>
      <c r="F28" s="95"/>
      <c r="G28" s="95"/>
      <c r="H28" s="95"/>
    </row>
    <row r="29" spans="1:9" hidden="1" x14ac:dyDescent="0.3">
      <c r="A29" s="11" t="str">
        <f t="shared" si="1"/>
        <v>Feed-in Tariffs</v>
      </c>
      <c r="C29" t="s">
        <v>57</v>
      </c>
      <c r="D29" s="99">
        <f>IF(LEFT($A$22,5)="blank",0,'Input General'!#REF!+SUMPRODUCT('Input General'!#REF!,'Input General'!#REF!)*'Input Global'!D19)</f>
        <v>0</v>
      </c>
      <c r="E29" s="99">
        <f>IF(LEFT($A$22,5)="blank",0,'Input General'!#REF!+SUMPRODUCT('Input General'!#REF!,'Input General'!#REF!)*'Input Global'!E19)</f>
        <v>0</v>
      </c>
      <c r="F29" s="99">
        <f>IF(LEFT($A$22,5)="blank",0,'Input General'!#REF!+SUMPRODUCT('Input General'!#REF!,'Input General'!#REF!)*'Input Global'!F19)</f>
        <v>0</v>
      </c>
      <c r="G29" s="99">
        <f>IF(LEFT($A$22,5)="blank",0,'Input General'!#REF!+SUMPRODUCT('Input General'!#REF!,'Input General'!#REF!)*'Input Global'!G19)</f>
        <v>0</v>
      </c>
      <c r="H29" s="99">
        <f>IF(LEFT($A$22,5)="blank",0,'Input General'!#REF!+SUMPRODUCT('Input General'!#REF!,'Input General'!#REF!)*'Input Global'!H19)</f>
        <v>0</v>
      </c>
    </row>
    <row r="30" spans="1:9" hidden="1" x14ac:dyDescent="0.3">
      <c r="A30" s="11" t="str">
        <f t="shared" si="1"/>
        <v>Carbon costs</v>
      </c>
      <c r="C30" t="s">
        <v>57</v>
      </c>
      <c r="D30" s="99">
        <f>IF(LEFT($A$22,5)="blank",0,VLOOKUP($B$2,'Input General'!#REF!,COLUMN('Input General'!#REF!),FALSE)*'Input Global'!D$19)</f>
        <v>0</v>
      </c>
      <c r="E30" s="99">
        <f>IF(LEFT($A$22,5)="blank",0,VLOOKUP($B$2,'Input General'!#REF!,COLUMN('Input General'!#REF!),FALSE)*'Input Global'!E$19)</f>
        <v>0</v>
      </c>
      <c r="F30" s="99">
        <f>IF(LEFT($A$22,5)="blank",0,VLOOKUP($B$2,'Input General'!#REF!,COLUMN('Input General'!#REF!),FALSE)*'Input Global'!F$19)</f>
        <v>0</v>
      </c>
      <c r="G30" s="99">
        <f>IF(LEFT($A$22,5)="blank",0,VLOOKUP($B$2,'Input General'!#REF!,COLUMN('Input General'!#REF!),FALSE)*'Input Global'!G$19)</f>
        <v>0</v>
      </c>
      <c r="H30" s="99">
        <f>IF(LEFT($A$22,5)="blank",0,VLOOKUP($B$2,'Input General'!#REF!,COLUMN('Input General'!#REF!),FALSE)*'Input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57</v>
      </c>
      <c r="D31" s="99">
        <f>IF(LEFT($A$22,5)="blank",0,VLOOKUP($B$2,'Input General'!#REF!,COLUMN(D16),FALSE)*'Input Global'!D19)</f>
        <v>0</v>
      </c>
      <c r="E31" s="99">
        <f>IF(LEFT($A$22,5)="blank",0,VLOOKUP($B$2,'Input General'!#REF!,COLUMN(E16),FALSE)*'Input Global'!E19)</f>
        <v>0</v>
      </c>
      <c r="F31" s="99">
        <f>IF(LEFT($A$22,5)="blank",0,VLOOKUP($B$2,'Input General'!#REF!,COLUMN(F16),FALSE)*'Input Global'!F19)</f>
        <v>0</v>
      </c>
      <c r="G31" s="99">
        <f>IF(LEFT($A$22,5)="blank",0,VLOOKUP($B$2,'Input General'!#REF!,COLUMN(G16),FALSE)*'Input Global'!G19)</f>
        <v>0</v>
      </c>
      <c r="H31" s="99">
        <f>IF(LEFT($A$22,5)="blank",0,VLOOKUP($B$2,'Input General'!#REF!,COLUMN(H16),FALSE)*'Input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57</v>
      </c>
      <c r="D32" s="99">
        <f>IF(LEFT($A$22,5)="blank",0,'Input General'!#REF!*'Input Global'!D$19)</f>
        <v>0</v>
      </c>
      <c r="E32" s="99">
        <f>IF(LEFT($A$22,5)="blank",0,'Input General'!#REF!*'Input Global'!E$19)</f>
        <v>0</v>
      </c>
      <c r="F32" s="99">
        <f>IF(LEFT($A$22,5)="blank",0,'Input General'!#REF!*'Input Global'!F$19)</f>
        <v>0</v>
      </c>
      <c r="G32" s="99">
        <f>IF(LEFT($A$22,5)="blank",0,'Input General'!#REF!*'Input Global'!G$19)</f>
        <v>0</v>
      </c>
      <c r="H32" s="99">
        <f>IF(LEFT($A$22,5)="blank",0,'Input General'!#REF!*'Input Global'!H$19)</f>
        <v>0</v>
      </c>
      <c r="I32" s="10"/>
    </row>
    <row r="33" spans="1:9" hidden="1" x14ac:dyDescent="0.3">
      <c r="A33" s="11" t="str">
        <f t="shared" si="1"/>
        <v>Greenhouse gas abatement scheme</v>
      </c>
      <c r="C33" t="s">
        <v>57</v>
      </c>
      <c r="D33" s="99">
        <f>IF(LEFT($A$22,5)="blank",0,VLOOKUP($B$2,'Input General'!#REF!,COLUMN(D33),FALSE)*'Input Global'!D$19)</f>
        <v>0</v>
      </c>
      <c r="E33" s="99">
        <f>IF(LEFT($A$22,5)="blank",0,VLOOKUP($B$2,'Input General'!#REF!,COLUMN(E33),FALSE)*'Input Global'!E$19)</f>
        <v>0</v>
      </c>
      <c r="F33" s="99">
        <f>IF(LEFT($A$22,5)="blank",0,VLOOKUP($B$2,'Input General'!#REF!,COLUMN(F33),FALSE)*'Input Global'!F$19)</f>
        <v>0</v>
      </c>
      <c r="G33" s="99">
        <f>IF(LEFT($A$22,5)="blank",0,VLOOKUP($B$2,'Input General'!#REF!,COLUMN(G33),FALSE)*'Input Global'!G$19)</f>
        <v>0</v>
      </c>
      <c r="H33" s="99">
        <f>IF(LEFT($A$22,5)="blank",0,VLOOKUP($B$2,'Input General'!#REF!,COLUMN(H33),FALSE)*'Input Global'!H$19)</f>
        <v>0</v>
      </c>
      <c r="I33" s="10"/>
    </row>
    <row r="34" spans="1:9" hidden="1" x14ac:dyDescent="0.3">
      <c r="A34" s="11" t="str">
        <f t="shared" si="1"/>
        <v>Energy Savings</v>
      </c>
      <c r="C34" t="s">
        <v>57</v>
      </c>
      <c r="D34" s="99">
        <f>IF(LEFT($A$22,5)="blank",0,VLOOKUP($B$2,'Input General'!#REF!,COLUMN(D34),FALSE)*'Input Global'!D$19)</f>
        <v>0</v>
      </c>
      <c r="E34" s="99">
        <f>IF(LEFT($A$22,5)="blank",0,VLOOKUP($B$2,'Input General'!#REF!,COLUMN(E34),FALSE)*'Input Global'!E$19)</f>
        <v>0</v>
      </c>
      <c r="F34" s="99">
        <f>IF(LEFT($A$22,5)="blank",0,VLOOKUP($B$2,'Input General'!#REF!,COLUMN(F34),FALSE)*'Input Global'!F$19)</f>
        <v>0</v>
      </c>
      <c r="G34" s="99">
        <f>IF(LEFT($A$22,5)="blank",0,VLOOKUP($B$2,'Input General'!#REF!,COLUMN(G34),FALSE)*'Input Global'!G$19)</f>
        <v>0</v>
      </c>
      <c r="H34" s="99">
        <f>IF(LEFT($A$22,5)="blank",0,VLOOKUP($B$2,'Input General'!#REF!,COLUMN(H34),FALSE)*'Input Global'!H$19)</f>
        <v>0</v>
      </c>
      <c r="I34" s="10"/>
    </row>
    <row r="35" spans="1:9" hidden="1" x14ac:dyDescent="0.3">
      <c r="A35" s="12" t="s">
        <v>55</v>
      </c>
      <c r="B35" s="12"/>
      <c r="C35" s="12" t="s">
        <v>57</v>
      </c>
      <c r="D35" s="99">
        <f>SUM(D23:D34)</f>
        <v>0</v>
      </c>
      <c r="E35" s="99">
        <f t="shared" ref="E35:H35" si="2">SUM(E23:E34)</f>
        <v>0</v>
      </c>
      <c r="F35" s="99">
        <f t="shared" si="2"/>
        <v>0</v>
      </c>
      <c r="G35" s="99">
        <f t="shared" si="2"/>
        <v>0</v>
      </c>
      <c r="H35" s="99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57</v>
      </c>
      <c r="D38" s="99">
        <f>IF(LEFT($A$37,5)="blank",0,VLOOKUP($B$2,dist3wholesale,COLUMN(D38),FALSE)*'Input Global'!D20)</f>
        <v>0</v>
      </c>
      <c r="E38" s="99">
        <f>IF(LEFT($A$37,5)="blank",0,VLOOKUP($B$2,dist3wholesale,COLUMN(E38),FALSE)*'Input Global'!E20)</f>
        <v>0</v>
      </c>
      <c r="F38" s="99">
        <f>IF(LEFT($A$37,5)="blank",0,VLOOKUP($B$2,dist3wholesale,COLUMN(F38),FALSE)*'Input Global'!F20)</f>
        <v>0</v>
      </c>
      <c r="G38" s="99">
        <f>IF(LEFT($A$37,5)="blank",0,VLOOKUP($B$2,dist3wholesale,COLUMN(G38),FALSE)*'Input Global'!G20)</f>
        <v>0</v>
      </c>
      <c r="H38" s="99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57</v>
      </c>
      <c r="D39" s="99">
        <f>IF(LEFT($A$37,5)="blank",0,'Input General'!#REF!+(SUMPRODUCT('Input General'!#REF!,'Input General'!#REF!)*'Input Global'!D$20))</f>
        <v>0</v>
      </c>
      <c r="E39" s="99">
        <f>IF(LEFT($A$37,5)="blank",0,'Input General'!#REF!+(SUMPRODUCT('Input General'!#REF!,'Input General'!#REF!)*'Input Global'!E$20))</f>
        <v>0</v>
      </c>
      <c r="F39" s="99">
        <f>IF(LEFT($A$37,5)="blank",0,'Input General'!#REF!+(SUMPRODUCT('Input General'!#REF!,'Input General'!#REF!)*'Input Global'!F$20))</f>
        <v>0</v>
      </c>
      <c r="G39" s="99">
        <f>IF(LEFT($A$37,5)="blank",0,'Input General'!#REF!+(SUMPRODUCT('Input General'!#REF!,'Input General'!#REF!)*'Input Global'!G$20))</f>
        <v>0</v>
      </c>
      <c r="H39" s="99">
        <f>IF(LEFT($A$37,5)="blank",0,'Input General'!#REF!+(SUMPRODUCT('Input General'!#REF!,'Input General'!#REF!)*'Input Global'!H$20))</f>
        <v>0</v>
      </c>
    </row>
    <row r="40" spans="1:9" hidden="1" x14ac:dyDescent="0.3">
      <c r="A40" t="str">
        <f t="shared" si="3"/>
        <v>Distribution</v>
      </c>
      <c r="C40" t="s">
        <v>57</v>
      </c>
      <c r="D40" s="99">
        <f>IF(LEFT($A$37,5)="blank",0,'Input General'!#REF!+SUMPRODUCT('Input General'!#REF!,'Input General'!#REF!)*'Input Global'!D$20+'Input General'!#REF!)</f>
        <v>0</v>
      </c>
      <c r="E40" s="99">
        <f>IF(LEFT($A$37,5)="blank",0,'Input General'!#REF!+SUMPRODUCT('Input General'!#REF!,'Input General'!#REF!)*'Input Global'!E$20+'Input General'!#REF!)</f>
        <v>0</v>
      </c>
      <c r="F40" s="99">
        <f>IF(LEFT($A$37,5)="blank",0,'Input General'!#REF!+SUMPRODUCT('Input General'!#REF!,'Input General'!#REF!)*'Input Global'!F$20+'Input General'!#REF!)</f>
        <v>0</v>
      </c>
      <c r="G40" s="99">
        <f>IF(LEFT($A$37,5)="blank",0,'Input General'!#REF!+SUMPRODUCT('Input General'!#REF!,'Input General'!#REF!)*'Input Global'!G$20+'Input General'!#REF!)</f>
        <v>0</v>
      </c>
      <c r="H40" s="99">
        <f>IF(LEFT($A$37,5)="blank",0,'Input General'!#REF!+SUMPRODUCT('Input General'!#REF!,'Input General'!#REF!)*'Input Global'!H$20+'Input General'!#REF!)</f>
        <v>0</v>
      </c>
    </row>
    <row r="41" spans="1:9" hidden="1" x14ac:dyDescent="0.3">
      <c r="A41" t="str">
        <f t="shared" si="3"/>
        <v>Retail</v>
      </c>
      <c r="C41" t="s">
        <v>57</v>
      </c>
      <c r="D41" s="99">
        <f>IF(LEFT($A$37,5)="blank",0,'Input General'!#REF!*'Input Global'!D$20)</f>
        <v>0</v>
      </c>
      <c r="E41" s="99">
        <f>IF(LEFT($A$37,5)="blank",0,'Input General'!#REF!*'Input Global'!E$20)</f>
        <v>0</v>
      </c>
      <c r="F41" s="99">
        <f>IF(LEFT($A$37,5)="blank",0,'Input General'!#REF!*'Input Global'!F$20)</f>
        <v>0</v>
      </c>
      <c r="G41" s="99">
        <f>IF(LEFT($A$37,5)="blank",0,'Input General'!#REF!*'Input Global'!G$20)</f>
        <v>0</v>
      </c>
      <c r="H41" s="99">
        <f>IF(LEFT($A$37,5)="blank",0,'Input General'!#REF!*'Input Global'!H$20)</f>
        <v>0</v>
      </c>
    </row>
    <row r="42" spans="1:9" hidden="1" x14ac:dyDescent="0.3">
      <c r="A42" t="str">
        <f t="shared" si="3"/>
        <v>Retail and Residual</v>
      </c>
      <c r="C42" t="s">
        <v>57</v>
      </c>
      <c r="D42" s="99">
        <f>IF(LEFT($A$37,5)="blank",0,VLOOKUP($B$2,'Input General'!#REF!,COLUMN(D27),FALSE)*'Input Global'!D$35)</f>
        <v>0</v>
      </c>
      <c r="E42" s="99">
        <f>IF(LEFT($A$37,5)="blank",0,VLOOKUP($B$2,'Input General'!#REF!,COLUMN(E27),FALSE)*'Input Global'!E$35)</f>
        <v>0</v>
      </c>
      <c r="F42" s="99">
        <f>IF(LEFT($A$37,5)="blank",0,VLOOKUP($B$2,'Input General'!#REF!,COLUMN(F27),FALSE)*'Input Global'!F$35)</f>
        <v>0</v>
      </c>
      <c r="G42" s="99">
        <f>IF(LEFT($A$37,5)="blank",0,VLOOKUP($B$2,'Input General'!#REF!,COLUMN(G27),FALSE)*'Input Global'!G$35)</f>
        <v>0</v>
      </c>
      <c r="H42" s="99">
        <f>IF(LEFT($A$37,5)="blank",0,VLOOKUP($B$2,'Input General'!#REF!,COLUMN(H27),FALSE)*'Input Global'!H$35)</f>
        <v>0</v>
      </c>
    </row>
    <row r="43" spans="1:9" hidden="1" x14ac:dyDescent="0.3">
      <c r="A43" t="str">
        <f t="shared" si="3"/>
        <v>Green Schemes</v>
      </c>
      <c r="D43" s="95"/>
      <c r="E43" s="95"/>
      <c r="F43" s="95"/>
      <c r="G43" s="95"/>
      <c r="H43" s="95"/>
    </row>
    <row r="44" spans="1:9" hidden="1" x14ac:dyDescent="0.3">
      <c r="A44" s="11" t="str">
        <f t="shared" si="3"/>
        <v>Feed-in Tariffs</v>
      </c>
      <c r="C44" t="s">
        <v>57</v>
      </c>
      <c r="D44" s="99">
        <f>IF(LEFT($A$37,5)="blank",0,'Input General'!#REF!+SUMPRODUCT('Input General'!#REF!,'Input General'!#REF!)*'Input Global'!D$20)</f>
        <v>0</v>
      </c>
      <c r="E44" s="99">
        <f>IF(LEFT($A$37,5)="blank",0,'Input General'!#REF!+SUMPRODUCT('Input General'!#REF!,'Input General'!#REF!)*'Input Global'!E$20)</f>
        <v>0</v>
      </c>
      <c r="F44" s="99">
        <f>IF(LEFT($A$37,5)="blank",0,'Input General'!#REF!+SUMPRODUCT('Input General'!#REF!,'Input General'!#REF!)*'Input Global'!F$20)</f>
        <v>0</v>
      </c>
      <c r="G44" s="99">
        <f>IF(LEFT($A$37,5)="blank",0,'Input General'!#REF!+SUMPRODUCT('Input General'!#REF!,'Input General'!#REF!)*'Input Global'!G$20)</f>
        <v>0</v>
      </c>
      <c r="H44" s="99">
        <f>IF(LEFT($A$37,5)="blank",0,'Input General'!#REF!+SUMPRODUCT('Input General'!#REF!,'Input General'!#REF!)*'Input Global'!H$20)</f>
        <v>0</v>
      </c>
    </row>
    <row r="45" spans="1:9" hidden="1" x14ac:dyDescent="0.3">
      <c r="A45" s="11" t="str">
        <f t="shared" si="3"/>
        <v>Carbon costs</v>
      </c>
      <c r="C45" t="s">
        <v>57</v>
      </c>
      <c r="D45" s="99">
        <f>IF(LEFT($A$37,5)="blank",0,VLOOKUP($B$2,'Input General'!#REF!,COLUMN('Input General'!#REF!),FALSE)*'Input Global'!D$20)</f>
        <v>0</v>
      </c>
      <c r="E45" s="99">
        <f>IF(LEFT($A$37,5)="blank",0,VLOOKUP($B$2,'Input General'!#REF!,COLUMN('Input General'!#REF!),FALSE)*'Input Global'!E$20)</f>
        <v>0</v>
      </c>
      <c r="F45" s="99">
        <f>IF(LEFT($A$37,5)="blank",0,VLOOKUP($B$2,'Input General'!#REF!,COLUMN('Input General'!#REF!),FALSE)*'Input Global'!F$20)</f>
        <v>0</v>
      </c>
      <c r="G45" s="99">
        <f>IF(LEFT($A$37,5)="blank",0,VLOOKUP($B$2,'Input General'!#REF!,COLUMN('Input General'!#REF!),FALSE)*'Input Global'!G$20)</f>
        <v>0</v>
      </c>
      <c r="H45" s="99">
        <f>IF(LEFT($A$37,5)="blank",0,VLOOKUP($B$2,'Input General'!#REF!,COLUMN('Input General'!#REF!),FALSE)*'Input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57</v>
      </c>
      <c r="D46" s="99">
        <f>IF(LEFT($A$37,5)="blank",0,VLOOKUP($B$2,'Input General'!#REF!,COLUMN(D16),FALSE)*'Input Global'!D20)</f>
        <v>0</v>
      </c>
      <c r="E46" s="99">
        <f>IF(LEFT($A$37,5)="blank",0,VLOOKUP($B$2,'Input General'!#REF!,COLUMN(E16),FALSE)*'Input Global'!E20)</f>
        <v>0</v>
      </c>
      <c r="F46" s="99">
        <f>IF(LEFT($A$37,5)="blank",0,VLOOKUP($B$2,'Input General'!#REF!,COLUMN(F16),FALSE)*'Input Global'!F20)</f>
        <v>0</v>
      </c>
      <c r="G46" s="99">
        <f>IF(LEFT($A$37,5)="blank",0,VLOOKUP($B$2,'Input General'!#REF!,COLUMN(G16),FALSE)*'Input Global'!G20)</f>
        <v>0</v>
      </c>
      <c r="H46" s="99">
        <f>IF(LEFT($A$37,5)="blank",0,VLOOKUP($B$2,'Input General'!#REF!,COLUMN(H16),FALSE)*'Input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57</v>
      </c>
      <c r="D47" s="99">
        <f>IF(LEFT($A$37,5)="blank",0,'Input General'!#REF!*'Input Global'!D$20)</f>
        <v>0</v>
      </c>
      <c r="E47" s="99">
        <f>IF(LEFT($A$37,5)="blank",0,'Input General'!#REF!*'Input Global'!E$20)</f>
        <v>0</v>
      </c>
      <c r="F47" s="99">
        <f>IF(LEFT($A$37,5)="blank",0,'Input General'!#REF!*'Input Global'!F$20)</f>
        <v>0</v>
      </c>
      <c r="G47" s="99">
        <f>IF(LEFT($A$37,5)="blank",0,'Input General'!#REF!*'Input Global'!G$20)</f>
        <v>0</v>
      </c>
      <c r="H47" s="99">
        <f>IF(LEFT($A$37,5)="blank",0,'Input General'!#REF!*'Input Global'!H$20)</f>
        <v>0</v>
      </c>
    </row>
    <row r="48" spans="1:9" hidden="1" x14ac:dyDescent="0.3">
      <c r="A48" s="11" t="str">
        <f t="shared" si="3"/>
        <v>Greenhouse gas abatement scheme</v>
      </c>
      <c r="C48" t="s">
        <v>57</v>
      </c>
      <c r="D48" s="99">
        <f>IF(LEFT($A$37,5)="blank",0,VLOOKUP($B$2,'Input General'!#REF!,COLUMN(D33),FALSE)*'Input Global'!D$20)</f>
        <v>0</v>
      </c>
      <c r="E48" s="99">
        <f>IF(LEFT($A$37,5)="blank",0,VLOOKUP($B$2,'Input General'!#REF!,COLUMN(E33),FALSE)*'Input Global'!E$20)</f>
        <v>0</v>
      </c>
      <c r="F48" s="99">
        <f>IF(LEFT($A$37,5)="blank",0,VLOOKUP($B$2,'Input General'!#REF!,COLUMN(F33),FALSE)*'Input Global'!F$20)</f>
        <v>0</v>
      </c>
      <c r="G48" s="99">
        <f>IF(LEFT($A$37,5)="blank",0,VLOOKUP($B$2,'Input General'!#REF!,COLUMN(G33),FALSE)*'Input Global'!G$20)</f>
        <v>0</v>
      </c>
      <c r="H48" s="99">
        <f>IF(LEFT($A$37,5)="blank",0,VLOOKUP($B$2,'Input General'!#REF!,COLUMN(H33),FALSE)*'Input Global'!H$20)</f>
        <v>0</v>
      </c>
    </row>
    <row r="49" spans="1:8" hidden="1" x14ac:dyDescent="0.3">
      <c r="A49" t="str">
        <f t="shared" si="3"/>
        <v>Energy Savings</v>
      </c>
      <c r="C49" t="s">
        <v>57</v>
      </c>
      <c r="D49" s="99">
        <f>IF(LEFT($A$37,5)="blank",0,VLOOKUP($B$2,'Input General'!#REF!,COLUMN(D49),FALSE)*'Input Global'!D$20)</f>
        <v>0</v>
      </c>
      <c r="E49" s="99">
        <f>IF(LEFT($A$37,5)="blank",0,VLOOKUP($B$2,'Input General'!#REF!,COLUMN(E49),FALSE)*'Input Global'!E$20)</f>
        <v>0</v>
      </c>
      <c r="F49" s="99">
        <f>IF(LEFT($A$37,5)="blank",0,VLOOKUP($B$2,'Input General'!#REF!,COLUMN(F49),FALSE)*'Input Global'!F$20)</f>
        <v>0</v>
      </c>
      <c r="G49" s="99">
        <f>IF(LEFT($A$37,5)="blank",0,VLOOKUP($B$2,'Input General'!#REF!,COLUMN(G49),FALSE)*'Input Global'!G$20)</f>
        <v>0</v>
      </c>
      <c r="H49" s="99">
        <f>IF(LEFT($A$37,5)="blank",0,VLOOKUP($B$2,'Input General'!#REF!,COLUMN(H49),FALSE)*'Input Global'!H$20)</f>
        <v>0</v>
      </c>
    </row>
    <row r="50" spans="1:8" hidden="1" x14ac:dyDescent="0.3">
      <c r="A50" s="12" t="s">
        <v>55</v>
      </c>
      <c r="B50" s="12"/>
      <c r="C50" s="12" t="s">
        <v>57</v>
      </c>
      <c r="D50" s="99">
        <f>SUM(D38:D49)</f>
        <v>0</v>
      </c>
      <c r="E50" s="99">
        <f t="shared" ref="E50:H50" si="4">SUM(E38:E49)</f>
        <v>0</v>
      </c>
      <c r="F50" s="99">
        <f t="shared" si="4"/>
        <v>0</v>
      </c>
      <c r="G50" s="99">
        <f t="shared" si="4"/>
        <v>0</v>
      </c>
      <c r="H50" s="99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57</v>
      </c>
      <c r="D53" s="99">
        <f>IF(LEFT($A$52,5)="blank",0,VLOOKUP($B$2,dist4wholesale,COLUMN(D53),FALSE)*'Input Global'!D21)</f>
        <v>0</v>
      </c>
      <c r="E53" s="99">
        <f>IF(LEFT($A$52,5)="blank",0,VLOOKUP($B$2,dist4wholesale,COLUMN(E53),FALSE)*'Input Global'!E21)</f>
        <v>0</v>
      </c>
      <c r="F53" s="99">
        <f>IF(LEFT($A$52,5)="blank",0,VLOOKUP($B$2,dist4wholesale,COLUMN(F53),FALSE)*'Input Global'!F21)</f>
        <v>0</v>
      </c>
      <c r="G53" s="99">
        <f>IF(LEFT($A$52,5)="blank",0,VLOOKUP($B$2,dist4wholesale,COLUMN(G53),FALSE)*'Input Global'!G21)</f>
        <v>0</v>
      </c>
      <c r="H53" s="99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57</v>
      </c>
      <c r="D54" s="99">
        <f>IF(LEFT($A$52,5)="blank",0,'Input General'!#REF!+(SUMPRODUCT('Input General'!#REF!,'Input General'!#REF!)*'Input Global'!D$21))</f>
        <v>0</v>
      </c>
      <c r="E54" s="99">
        <f>IF(LEFT($A$52,5)="blank",0,'Input General'!#REF!+(SUMPRODUCT('Input General'!#REF!,'Input General'!#REF!)*'Input Global'!E$21))</f>
        <v>0</v>
      </c>
      <c r="F54" s="99">
        <f>IF(LEFT($A$52,5)="blank",0,'Input General'!#REF!+(SUMPRODUCT('Input General'!#REF!,'Input General'!#REF!)*'Input Global'!F$21))</f>
        <v>0</v>
      </c>
      <c r="G54" s="99">
        <f>IF(LEFT($A$52,5)="blank",0,'Input General'!#REF!+(SUMPRODUCT('Input General'!#REF!,'Input General'!#REF!)*'Input Global'!G$21))</f>
        <v>0</v>
      </c>
      <c r="H54" s="99">
        <f>IF(LEFT($A$52,5)="blank",0,'Input General'!#REF!+(SUMPRODUCT('Input General'!#REF!,'Input General'!#REF!)*'Input Global'!H$21))</f>
        <v>0</v>
      </c>
    </row>
    <row r="55" spans="1:8" hidden="1" x14ac:dyDescent="0.3">
      <c r="A55" t="str">
        <f t="shared" si="5"/>
        <v>Distribution</v>
      </c>
      <c r="C55" t="s">
        <v>57</v>
      </c>
      <c r="D55" s="99">
        <f>IF(LEFT($A$52,5)="blank",0,'Input General'!#REF!+SUMPRODUCT('Input General'!#REF!,'Input General'!#REF!)*'Input Global'!D$21+'Input General'!#REF!)</f>
        <v>0</v>
      </c>
      <c r="E55" s="99">
        <f>IF(LEFT($A$52,5)="blank",0,'Input General'!#REF!+SUMPRODUCT('Input General'!#REF!,'Input General'!#REF!)*'Input Global'!E$21+'Input General'!#REF!)</f>
        <v>0</v>
      </c>
      <c r="F55" s="99">
        <f>IF(LEFT($A$52,5)="blank",0,'Input General'!#REF!+SUMPRODUCT('Input General'!#REF!,'Input General'!#REF!)*'Input Global'!F$21+'Input General'!#REF!)</f>
        <v>0</v>
      </c>
      <c r="G55" s="99">
        <f>IF(LEFT($A$52,5)="blank",0,'Input General'!#REF!+SUMPRODUCT('Input General'!#REF!,'Input General'!#REF!)*'Input Global'!G$21+'Input General'!#REF!)</f>
        <v>0</v>
      </c>
      <c r="H55" s="99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t="str">
        <f t="shared" si="5"/>
        <v>Retail</v>
      </c>
      <c r="C56" t="s">
        <v>57</v>
      </c>
      <c r="D56" s="99">
        <f>IF(LEFT($A$52,5)="blank",0,'Input General'!#REF!*'Input Global'!D$21)</f>
        <v>0</v>
      </c>
      <c r="E56" s="99">
        <f>IF(LEFT($A$52,5)="blank",0,'Input General'!#REF!*'Input Global'!E$21)</f>
        <v>0</v>
      </c>
      <c r="F56" s="99">
        <f>IF(LEFT($A$52,5)="blank",0,'Input General'!#REF!*'Input Global'!F$21)</f>
        <v>0</v>
      </c>
      <c r="G56" s="99">
        <f>IF(LEFT($A$52,5)="blank",0,'Input General'!#REF!*'Input Global'!G$21)</f>
        <v>0</v>
      </c>
      <c r="H56" s="99">
        <f>IF(LEFT($A$52,5)="blank",0,'Input General'!#REF!*'Input Global'!H$21)</f>
        <v>0</v>
      </c>
    </row>
    <row r="57" spans="1:8" hidden="1" x14ac:dyDescent="0.3">
      <c r="A57" t="str">
        <f t="shared" si="5"/>
        <v>Retail and Residual</v>
      </c>
      <c r="C57" t="s">
        <v>57</v>
      </c>
      <c r="D57" s="99">
        <f>IF(LEFT($A$52,5)="blank",0,VLOOKUP($B$2,'Input General'!#REF!,COLUMN(D57),FALSE)*'Input Global'!D$36)</f>
        <v>0</v>
      </c>
      <c r="E57" s="99">
        <f>IF(LEFT($A$52,5)="blank",0,VLOOKUP($B$2,'Input General'!#REF!,COLUMN(E57),FALSE)*'Input Global'!E$36)</f>
        <v>0</v>
      </c>
      <c r="F57" s="99">
        <f>IF(LEFT($A$52,5)="blank",0,VLOOKUP($B$2,'Input General'!#REF!,COLUMN(F57),FALSE)*'Input Global'!F$36)</f>
        <v>0</v>
      </c>
      <c r="G57" s="99">
        <f>IF(LEFT($A$52,5)="blank",0,VLOOKUP($B$2,'Input General'!#REF!,COLUMN(G57),FALSE)*'Input Global'!G$36)</f>
        <v>0</v>
      </c>
      <c r="H57" s="99">
        <f>IF(LEFT($A$52,5)="blank",0,VLOOKUP($B$2,'Input General'!#REF!,COLUMN(H57),FALSE)*'Input Global'!H$36)</f>
        <v>0</v>
      </c>
    </row>
    <row r="58" spans="1:8" hidden="1" x14ac:dyDescent="0.3">
      <c r="A58" t="str">
        <f t="shared" si="5"/>
        <v>Green Schemes</v>
      </c>
      <c r="D58" s="95"/>
      <c r="E58" s="95"/>
      <c r="F58" s="95"/>
      <c r="G58" s="95"/>
      <c r="H58" s="95"/>
    </row>
    <row r="59" spans="1:8" hidden="1" x14ac:dyDescent="0.3">
      <c r="A59" s="11" t="str">
        <f t="shared" si="5"/>
        <v>Feed-in Tariffs</v>
      </c>
      <c r="C59" t="s">
        <v>57</v>
      </c>
      <c r="D59" s="99">
        <f>IF(LEFT($A$52,5)="blank",0,'Input General'!#REF!+SUMPRODUCT('Input General'!#REF!,'Input General'!#REF!)*'Input Global'!D$21)</f>
        <v>0</v>
      </c>
      <c r="E59" s="99">
        <f>IF(LEFT($A$52,5)="blank",0,'Input General'!#REF!+SUMPRODUCT('Input General'!#REF!,'Input General'!#REF!)*'Input Global'!E$21)</f>
        <v>0</v>
      </c>
      <c r="F59" s="99">
        <f>IF(LEFT($A$52,5)="blank",0,'Input General'!#REF!+SUMPRODUCT('Input General'!#REF!,'Input General'!#REF!)*'Input Global'!F$21)</f>
        <v>0</v>
      </c>
      <c r="G59" s="99">
        <f>IF(LEFT($A$52,5)="blank",0,'Input General'!#REF!+SUMPRODUCT('Input General'!#REF!,'Input General'!#REF!)*'Input Global'!G$21)</f>
        <v>0</v>
      </c>
      <c r="H59" s="99">
        <f>IF(LEFT($A$52,5)="blank",0,'Input General'!#REF!+SUMPRODUCT('Input General'!#REF!,'Input General'!#REF!)*'Input Global'!H$21)</f>
        <v>0</v>
      </c>
    </row>
    <row r="60" spans="1:8" hidden="1" x14ac:dyDescent="0.3">
      <c r="A60" s="11" t="str">
        <f t="shared" si="5"/>
        <v>Carbon costs</v>
      </c>
      <c r="C60" t="s">
        <v>57</v>
      </c>
      <c r="D60" s="99">
        <f>IF(LEFT($A$52,5)="blank",0,VLOOKUP($B$2,'Input General'!#REF!,COLUMN(D60),FALSE)*'Input Global'!D$21)</f>
        <v>0</v>
      </c>
      <c r="E60" s="99">
        <f>IF(LEFT($A$52,5)="blank",0,VLOOKUP($B$2,'Input General'!#REF!,COLUMN(E60),FALSE)*'Input Global'!E$21)</f>
        <v>0</v>
      </c>
      <c r="F60" s="99">
        <f>IF(LEFT($A$52,5)="blank",0,VLOOKUP($B$2,'Input General'!#REF!,COLUMN(F60),FALSE)*'Input Global'!F$21)</f>
        <v>0</v>
      </c>
      <c r="G60" s="99">
        <f>IF(LEFT($A$52,5)="blank",0,VLOOKUP($B$2,'Input General'!#REF!,COLUMN(G60),FALSE)*'Input Global'!G$21)</f>
        <v>0</v>
      </c>
      <c r="H60" s="99">
        <f>IF(LEFT($A$52,5)="blank",0,VLOOKUP($B$2,'Input General'!#REF!,COLUMN(H60),FALSE)*'Input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57</v>
      </c>
      <c r="D61" s="99">
        <f>IF(LEFT($A$52,5)="blank",0,VLOOKUP($B$2,'Input General'!#REF!,COLUMN(D61),FALSE)*'Input Global'!D21)</f>
        <v>0</v>
      </c>
      <c r="E61" s="99">
        <f>IF(LEFT($A$52,5)="blank",0,VLOOKUP($B$2,'Input General'!#REF!,COLUMN(E61),FALSE)*'Input Global'!E21)</f>
        <v>0</v>
      </c>
      <c r="F61" s="99">
        <f>IF(LEFT($A$52,5)="blank",0,VLOOKUP($B$2,'Input General'!#REF!,COLUMN(F61),FALSE)*'Input Global'!F21)</f>
        <v>0</v>
      </c>
      <c r="G61" s="99">
        <f>IF(LEFT($A$52,5)="blank",0,VLOOKUP($B$2,'Input General'!#REF!,COLUMN(G61),FALSE)*'Input Global'!G21)</f>
        <v>0</v>
      </c>
      <c r="H61" s="99">
        <f>IF(LEFT($A$52,5)="blank",0,VLOOKUP($B$2,'Input General'!#REF!,COLUMN(H61),FALSE)*'Input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57</v>
      </c>
      <c r="D62" s="99">
        <f>IF(LEFT($A$52,5)="blank",0,'Input General'!#REF!*'Input Global'!D$21)</f>
        <v>0</v>
      </c>
      <c r="E62" s="99">
        <f>IF(LEFT($A$52,5)="blank",0,'Input General'!#REF!*'Input Global'!E$21)</f>
        <v>0</v>
      </c>
      <c r="F62" s="99">
        <f>IF(LEFT($A$52,5)="blank",0,'Input General'!#REF!*'Input Global'!F$21)</f>
        <v>0</v>
      </c>
      <c r="G62" s="99">
        <f>IF(LEFT($A$52,5)="blank",0,'Input General'!#REF!*'Input Global'!G$21)</f>
        <v>0</v>
      </c>
      <c r="H62" s="99">
        <f>IF(LEFT($A$52,5)="blank",0,'Input General'!#REF!*'Input Global'!H$21)</f>
        <v>0</v>
      </c>
    </row>
    <row r="63" spans="1:8" hidden="1" x14ac:dyDescent="0.3">
      <c r="A63" s="11" t="str">
        <f t="shared" si="5"/>
        <v>Greenhouse gas abatement scheme</v>
      </c>
      <c r="C63" t="s">
        <v>57</v>
      </c>
      <c r="D63" s="99">
        <f>IF(LEFT($A$52,5)="blank",0,VLOOKUP($B$2,'Input General'!#REF!,COLUMN(D48),FALSE)*'Input Global'!D$21)</f>
        <v>0</v>
      </c>
      <c r="E63" s="99">
        <f>IF(LEFT($A$52,5)="blank",0,VLOOKUP($B$2,'Input General'!#REF!,COLUMN(E48),FALSE)*'Input Global'!E$21)</f>
        <v>0</v>
      </c>
      <c r="F63" s="99">
        <f>IF(LEFT($A$52,5)="blank",0,VLOOKUP($B$2,'Input General'!#REF!,COLUMN(F48),FALSE)*'Input Global'!F$21)</f>
        <v>0</v>
      </c>
      <c r="G63" s="99">
        <f>IF(LEFT($A$52,5)="blank",0,VLOOKUP($B$2,'Input General'!#REF!,COLUMN(G48),FALSE)*'Input Global'!G$21)</f>
        <v>0</v>
      </c>
      <c r="H63" s="99">
        <f>IF(LEFT($A$52,5)="blank",0,VLOOKUP($B$2,'Input General'!#REF!,COLUMN(H48),FALSE)*'Input Global'!H$21)</f>
        <v>0</v>
      </c>
    </row>
    <row r="64" spans="1:8" hidden="1" x14ac:dyDescent="0.3">
      <c r="A64" s="11" t="str">
        <f t="shared" si="5"/>
        <v>Energy Savings</v>
      </c>
      <c r="C64" t="s">
        <v>57</v>
      </c>
      <c r="D64" s="99">
        <f>IF(LEFT($A$52,5)="blank",0,VLOOKUP($B$2,'Input General'!#REF!,COLUMN(D64),FALSE)*'Input Global'!D$21)</f>
        <v>0</v>
      </c>
      <c r="E64" s="99">
        <f>IF(LEFT($A$52,5)="blank",0,VLOOKUP($B$2,'Input General'!#REF!,COLUMN(E64),FALSE)*'Input Global'!E$21)</f>
        <v>0</v>
      </c>
      <c r="F64" s="99">
        <f>IF(LEFT($A$52,5)="blank",0,VLOOKUP($B$2,'Input General'!#REF!,COLUMN(F64),FALSE)*'Input Global'!F$21)</f>
        <v>0</v>
      </c>
      <c r="G64" s="99">
        <f>IF(LEFT($A$52,5)="blank",0,VLOOKUP($B$2,'Input General'!#REF!,COLUMN(G64),FALSE)*'Input Global'!G$21)</f>
        <v>0</v>
      </c>
      <c r="H64" s="99">
        <f>IF(LEFT($A$52,5)="blank",0,VLOOKUP($B$2,'Input General'!#REF!,COLUMN(H64),FALSE)*'Input Global'!H$21)</f>
        <v>0</v>
      </c>
    </row>
    <row r="65" spans="1:8" hidden="1" x14ac:dyDescent="0.3">
      <c r="A65" s="12" t="s">
        <v>55</v>
      </c>
      <c r="B65" s="12"/>
      <c r="C65" s="12" t="s">
        <v>57</v>
      </c>
      <c r="D65" s="99">
        <f>SUM(D53:D64)</f>
        <v>0</v>
      </c>
      <c r="E65" s="99">
        <f t="shared" ref="E65:H65" si="6">SUM(E53:E64)</f>
        <v>0</v>
      </c>
      <c r="F65" s="99">
        <f t="shared" si="6"/>
        <v>0</v>
      </c>
      <c r="G65" s="99">
        <f t="shared" si="6"/>
        <v>0</v>
      </c>
      <c r="H65" s="99">
        <f t="shared" si="6"/>
        <v>0</v>
      </c>
    </row>
    <row r="66" spans="1:8" hidden="1" x14ac:dyDescent="0.3">
      <c r="D66" s="94"/>
      <c r="E66" s="94"/>
      <c r="F66" s="94"/>
      <c r="G66" s="94"/>
      <c r="H66" s="94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57</v>
      </c>
      <c r="D68" s="99">
        <f>IF(LEFT($A$67,5)="blank",0,VLOOKUP($B$2,dist5wholesale,COLUMN(D68),FALSE)*'Input Global'!D22)</f>
        <v>0</v>
      </c>
      <c r="E68" s="99">
        <f>IF(LEFT($A$67,5)="blank",0,VLOOKUP($B$2,dist5wholesale,COLUMN(E68),FALSE)*'Input Global'!E22)</f>
        <v>0</v>
      </c>
      <c r="F68" s="99">
        <f>IF(LEFT($A$67,5)="blank",0,VLOOKUP($B$2,dist5wholesale,COLUMN(F68),FALSE)*'Input Global'!F22)</f>
        <v>0</v>
      </c>
      <c r="G68" s="99">
        <f>IF(LEFT($A$67,5)="blank",0,VLOOKUP($B$2,dist5wholesale,COLUMN(G68),FALSE)*'Input Global'!G22)</f>
        <v>0</v>
      </c>
      <c r="H68" s="99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57</v>
      </c>
      <c r="D69" s="99">
        <f>IF(LEFT($A$67,5)="blank",0,'Input General'!#REF!+(SUMPRODUCT('Input General'!#REF!,'Input General'!#REF!)*'Input Global'!D$22))</f>
        <v>0</v>
      </c>
      <c r="E69" s="99">
        <f>IF(LEFT($A$67,5)="blank",0,'Input General'!#REF!+(SUMPRODUCT('Input General'!#REF!,'Input General'!#REF!)*'Input Global'!E$22))</f>
        <v>0</v>
      </c>
      <c r="F69" s="99">
        <f>IF(LEFT($A$67,5)="blank",0,'Input General'!#REF!+(SUMPRODUCT('Input General'!#REF!,'Input General'!#REF!)*'Input Global'!F$22))</f>
        <v>0</v>
      </c>
      <c r="G69" s="99">
        <f>IF(LEFT($A$67,5)="blank",0,'Input General'!#REF!+(SUMPRODUCT('Input General'!#REF!,'Input General'!#REF!)*'Input Global'!G$22))</f>
        <v>0</v>
      </c>
      <c r="H69" s="99">
        <f>IF(LEFT($A$67,5)="blank",0,'Input General'!#REF!+(SUMPRODUCT('Input General'!#REF!,'Input General'!#REF!)*'Input Global'!H$22))</f>
        <v>0</v>
      </c>
    </row>
    <row r="70" spans="1:8" hidden="1" x14ac:dyDescent="0.3">
      <c r="A70" t="str">
        <f t="shared" si="7"/>
        <v>Distribution</v>
      </c>
      <c r="C70" t="s">
        <v>57</v>
      </c>
      <c r="D70" s="99">
        <f>IF(LEFT($A$67,5)="blank",0,'Input General'!#REF!+SUMPRODUCT('Input General'!#REF!,'Input General'!#REF!)*'Input Global'!D$22+'Input General'!#REF!)</f>
        <v>0</v>
      </c>
      <c r="E70" s="99">
        <f>IF(LEFT($A$67,5)="blank",0,'Input General'!#REF!+SUMPRODUCT('Input General'!#REF!,'Input General'!#REF!)*'Input Global'!E$22+'Input General'!#REF!)</f>
        <v>0</v>
      </c>
      <c r="F70" s="99">
        <f>IF(LEFT($A$67,5)="blank",0,'Input General'!#REF!+SUMPRODUCT('Input General'!#REF!,'Input General'!#REF!)*'Input Global'!F$22+'Input General'!#REF!)</f>
        <v>0</v>
      </c>
      <c r="G70" s="99">
        <f>IF(LEFT($A$67,5)="blank",0,'Input General'!#REF!+SUMPRODUCT('Input General'!#REF!,'Input General'!#REF!)*'Input Global'!G$22+'Input General'!#REF!)</f>
        <v>0</v>
      </c>
      <c r="H70" s="99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t="str">
        <f t="shared" si="7"/>
        <v>Retail</v>
      </c>
      <c r="C71" t="s">
        <v>57</v>
      </c>
      <c r="D71" s="99">
        <f>IF(LEFT($A$67,5)="blank",0,'Input General'!#REF!*'Input Global'!D$22)</f>
        <v>0</v>
      </c>
      <c r="E71" s="99">
        <f>IF(LEFT($A$67,5)="blank",0,'Input General'!#REF!*'Input Global'!E$22)</f>
        <v>0</v>
      </c>
      <c r="F71" s="99">
        <f>IF(LEFT($A$67,5)="blank",0,'Input General'!#REF!*'Input Global'!F$22)</f>
        <v>0</v>
      </c>
      <c r="G71" s="99">
        <f>IF(LEFT($A$67,5)="blank",0,'Input General'!#REF!*'Input Global'!G$22)</f>
        <v>0</v>
      </c>
      <c r="H71" s="99">
        <f>IF(LEFT($A$67,5)="blank",0,'Input General'!#REF!*'Input Global'!H$22)</f>
        <v>0</v>
      </c>
    </row>
    <row r="72" spans="1:8" hidden="1" x14ac:dyDescent="0.3">
      <c r="A72" t="str">
        <f t="shared" si="7"/>
        <v>Retail and Residual</v>
      </c>
      <c r="C72" t="s">
        <v>57</v>
      </c>
      <c r="D72" s="99">
        <f>IF(LEFT($A$67,5)="blank",0,VLOOKUP($B$2,'Input General'!#REF!,COLUMN(D72),FALSE)*'Input Global'!D$37)</f>
        <v>0</v>
      </c>
      <c r="E72" s="99">
        <f>IF(LEFT($A$67,5)="blank",0,VLOOKUP($B$2,'Input General'!#REF!,COLUMN(E72),FALSE)*'Input Global'!E$37)</f>
        <v>0</v>
      </c>
      <c r="F72" s="99">
        <f>IF(LEFT($A$67,5)="blank",0,VLOOKUP($B$2,'Input General'!#REF!,COLUMN(F72),FALSE)*'Input Global'!F$37)</f>
        <v>0</v>
      </c>
      <c r="G72" s="99">
        <f>IF(LEFT($A$67,5)="blank",0,VLOOKUP($B$2,'Input General'!#REF!,COLUMN(G72),FALSE)*'Input Global'!G$37)</f>
        <v>0</v>
      </c>
      <c r="H72" s="99">
        <f>IF(LEFT($A$67,5)="blank",0,VLOOKUP($B$2,'Input General'!#REF!,COLUMN(H72),FALSE)*'Input Global'!H$37)</f>
        <v>0</v>
      </c>
    </row>
    <row r="73" spans="1:8" hidden="1" x14ac:dyDescent="0.3">
      <c r="A73" t="str">
        <f t="shared" si="7"/>
        <v>Green Schemes</v>
      </c>
      <c r="D73" s="95"/>
      <c r="E73" s="95"/>
      <c r="F73" s="95"/>
      <c r="G73" s="95"/>
      <c r="H73" s="95"/>
    </row>
    <row r="74" spans="1:8" hidden="1" x14ac:dyDescent="0.3">
      <c r="A74" s="11" t="str">
        <f t="shared" si="7"/>
        <v>Feed-in Tariffs</v>
      </c>
      <c r="C74" t="s">
        <v>57</v>
      </c>
      <c r="D74" s="99">
        <f>IF(LEFT($A$67,5)="blank",0,'Input General'!#REF!+SUMPRODUCT('Input General'!#REF!,'Input General'!#REF!)*'Input Global'!D$22)</f>
        <v>0</v>
      </c>
      <c r="E74" s="99">
        <f>IF(LEFT($A$67,5)="blank",0,'Input General'!#REF!+SUMPRODUCT('Input General'!#REF!,'Input General'!#REF!)*'Input Global'!E$22)</f>
        <v>0</v>
      </c>
      <c r="F74" s="99">
        <f>IF(LEFT($A$67,5)="blank",0,'Input General'!#REF!+SUMPRODUCT('Input General'!#REF!,'Input General'!#REF!)*'Input Global'!F$22)</f>
        <v>0</v>
      </c>
      <c r="G74" s="99">
        <f>IF(LEFT($A$67,5)="blank",0,'Input General'!#REF!+SUMPRODUCT('Input General'!#REF!,'Input General'!#REF!)*'Input Global'!G$22)</f>
        <v>0</v>
      </c>
      <c r="H74" s="99">
        <f>IF(LEFT($A$67,5)="blank",0,'Input General'!#REF!+SUMPRODUCT('Input General'!#REF!,'Input General'!#REF!)*'Input Global'!H$22)</f>
        <v>0</v>
      </c>
    </row>
    <row r="75" spans="1:8" hidden="1" x14ac:dyDescent="0.3">
      <c r="A75" s="11" t="str">
        <f t="shared" si="7"/>
        <v>Carbon costs</v>
      </c>
      <c r="C75" t="s">
        <v>57</v>
      </c>
      <c r="D75" s="99">
        <f>IF(LEFT($A$67,5)="blank",0,VLOOKUP($B$2,'Input General'!#REF!,COLUMN(D75),FALSE)*'Input Global'!D$22)</f>
        <v>0</v>
      </c>
      <c r="E75" s="99">
        <f>IF(LEFT($A$67,5)="blank",0,VLOOKUP($B$2,'Input General'!#REF!,COLUMN(E75),FALSE)*'Input Global'!E$22)</f>
        <v>0</v>
      </c>
      <c r="F75" s="99">
        <f>IF(LEFT($A$67,5)="blank",0,VLOOKUP($B$2,'Input General'!#REF!,COLUMN(F75),FALSE)*'Input Global'!F$22)</f>
        <v>0</v>
      </c>
      <c r="G75" s="99">
        <f>IF(LEFT($A$67,5)="blank",0,VLOOKUP($B$2,'Input General'!#REF!,COLUMN(G75),FALSE)*'Input Global'!G$22)</f>
        <v>0</v>
      </c>
      <c r="H75" s="99">
        <f>IF(LEFT($A$67,5)="blank",0,VLOOKUP($B$2,'Input General'!#REF!,COLUMN(H75),FALSE)*'Input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57</v>
      </c>
      <c r="D76" s="99">
        <f>IF(LEFT($A$67,5)="blank",0,VLOOKUP($B$2,'Input General'!#REF!,COLUMN(D76),FALSE)*'Input Global'!D22)</f>
        <v>0</v>
      </c>
      <c r="E76" s="99">
        <f>IF(LEFT($A$67,5)="blank",0,VLOOKUP($B$2,'Input General'!#REF!,COLUMN(E76),FALSE)*'Input Global'!E22)</f>
        <v>0</v>
      </c>
      <c r="F76" s="99">
        <f>IF(LEFT($A$67,5)="blank",0,VLOOKUP($B$2,'Input General'!#REF!,COLUMN(F76),FALSE)*'Input Global'!F22)</f>
        <v>0</v>
      </c>
      <c r="G76" s="99">
        <f>IF(LEFT($A$67,5)="blank",0,VLOOKUP($B$2,'Input General'!#REF!,COLUMN(G76),FALSE)*'Input Global'!G22)</f>
        <v>0</v>
      </c>
      <c r="H76" s="99">
        <f>IF(LEFT($A$67,5)="blank",0,VLOOKUP($B$2,'Input General'!#REF!,COLUMN(H76),FALSE)*'Input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57</v>
      </c>
      <c r="D77" s="99">
        <f>IF(LEFT($A$67,5)="blank",0,'Input General'!#REF!*'Input Global'!D$22)</f>
        <v>0</v>
      </c>
      <c r="E77" s="99">
        <f>IF(LEFT($A$67,5)="blank",0,'Input General'!#REF!*'Input Global'!E$22)</f>
        <v>0</v>
      </c>
      <c r="F77" s="99">
        <f>IF(LEFT($A$67,5)="blank",0,'Input General'!#REF!*'Input Global'!F$22)</f>
        <v>0</v>
      </c>
      <c r="G77" s="99">
        <f>IF(LEFT($A$67,5)="blank",0,'Input General'!#REF!*'Input Global'!G$22)</f>
        <v>0</v>
      </c>
      <c r="H77" s="99">
        <f>IF(LEFT($A$67,5)="blank",0,'Input General'!#REF!*'Input Global'!H$22)</f>
        <v>0</v>
      </c>
    </row>
    <row r="78" spans="1:8" hidden="1" x14ac:dyDescent="0.3">
      <c r="A78" s="11" t="str">
        <f t="shared" si="7"/>
        <v>Greenhouse gas abatement scheme</v>
      </c>
      <c r="C78" t="s">
        <v>57</v>
      </c>
      <c r="D78" s="99">
        <f>IF(LEFT($A$67,5)="blank",0,VLOOKUP($B$2,'Input General'!#REF!,COLUMN(D78),FALSE)*'Input Global'!D$22)</f>
        <v>0</v>
      </c>
      <c r="E78" s="99">
        <f>IF(LEFT($A$67,5)="blank",0,VLOOKUP($B$2,'Input General'!#REF!,COLUMN(E78),FALSE)*'Input Global'!E$22)</f>
        <v>0</v>
      </c>
      <c r="F78" s="99">
        <f>IF(LEFT($A$67,5)="blank",0,VLOOKUP($B$2,'Input General'!#REF!,COLUMN(F78),FALSE)*'Input Global'!F$22)</f>
        <v>0</v>
      </c>
      <c r="G78" s="99">
        <f>IF(LEFT($A$67,5)="blank",0,VLOOKUP($B$2,'Input General'!#REF!,COLUMN(G78),FALSE)*'Input Global'!G$22)</f>
        <v>0</v>
      </c>
      <c r="H78" s="99">
        <f>IF(LEFT($A$67,5)="blank",0,VLOOKUP($B$2,'Input General'!#REF!,COLUMN(H78),FALSE)*'Input Global'!H$22)</f>
        <v>0</v>
      </c>
    </row>
    <row r="79" spans="1:8" hidden="1" x14ac:dyDescent="0.3">
      <c r="A79" s="11" t="str">
        <f t="shared" si="7"/>
        <v>Energy Savings</v>
      </c>
      <c r="C79" t="s">
        <v>57</v>
      </c>
      <c r="D79" s="99">
        <f>IF(LEFT($A$67,5)="blank",0,VLOOKUP($B$2,'Input General'!#REF!,COLUMN(D79),FALSE)*'Input Global'!D$22)</f>
        <v>0</v>
      </c>
      <c r="E79" s="99">
        <f>IF(LEFT($A$67,5)="blank",0,VLOOKUP($B$2,'Input General'!#REF!,COLUMN(E79),FALSE)*'Input Global'!E$22)</f>
        <v>0</v>
      </c>
      <c r="F79" s="99">
        <f>IF(LEFT($A$67,5)="blank",0,VLOOKUP($B$2,'Input General'!#REF!,COLUMN(F79),FALSE)*'Input Global'!F$22)</f>
        <v>0</v>
      </c>
      <c r="G79" s="99">
        <f>IF(LEFT($A$67,5)="blank",0,VLOOKUP($B$2,'Input General'!#REF!,COLUMN(G79),FALSE)*'Input Global'!G$22)</f>
        <v>0</v>
      </c>
      <c r="H79" s="99">
        <f>IF(LEFT($A$67,5)="blank",0,VLOOKUP($B$2,'Input General'!#REF!,COLUMN(H79),FALSE)*'Input Global'!H$22)</f>
        <v>0</v>
      </c>
    </row>
    <row r="80" spans="1:8" hidden="1" x14ac:dyDescent="0.3">
      <c r="A80" s="12" t="s">
        <v>55</v>
      </c>
      <c r="B80" s="12"/>
      <c r="C80" s="12" t="s">
        <v>57</v>
      </c>
      <c r="D80" s="99">
        <f>SUM(D68:D79)</f>
        <v>0</v>
      </c>
      <c r="E80" s="99">
        <f t="shared" ref="E80:H80" si="8">SUM(E68:E79)</f>
        <v>0</v>
      </c>
      <c r="F80" s="99">
        <f t="shared" si="8"/>
        <v>0</v>
      </c>
      <c r="G80" s="99">
        <f t="shared" si="8"/>
        <v>0</v>
      </c>
      <c r="H80" s="99">
        <f t="shared" si="8"/>
        <v>0</v>
      </c>
    </row>
    <row r="81" spans="1:8" x14ac:dyDescent="0.3">
      <c r="D81" s="95"/>
      <c r="E81" s="95"/>
      <c r="F81" s="95"/>
      <c r="G81" s="95"/>
      <c r="H81" s="95"/>
    </row>
    <row r="82" spans="1:8" ht="18.75" x14ac:dyDescent="0.3">
      <c r="A82" s="1" t="s">
        <v>56</v>
      </c>
      <c r="B82" s="1" t="s">
        <v>42</v>
      </c>
      <c r="D82" s="95"/>
      <c r="E82" s="95"/>
      <c r="F82" s="95"/>
      <c r="G82" s="95"/>
      <c r="H82" s="95"/>
    </row>
    <row r="84" spans="1:8" x14ac:dyDescent="0.3">
      <c r="A84" s="8" t="str">
        <f>Dist1</f>
        <v>ActewAGL</v>
      </c>
    </row>
    <row r="85" spans="1:8" x14ac:dyDescent="0.3">
      <c r="A85" t="str">
        <f>A68</f>
        <v>Wholesale</v>
      </c>
      <c r="C85" t="s">
        <v>11</v>
      </c>
      <c r="D85" s="99">
        <f ca="1">IF(LEFT($A$84,5)="blank",0,D8/'Input Global'!D$18)</f>
        <v>6.3952207999999997</v>
      </c>
      <c r="E85" s="99">
        <f ca="1">IF(LEFT($A$84,5)="blank",0,E8/'Input Global'!E$18)</f>
        <v>5.9533839999999998</v>
      </c>
      <c r="F85" s="99">
        <f ca="1">IF(LEFT($A$84,5)="blank",0,F8/'Input Global'!F$18)</f>
        <v>5.4239500000000005</v>
      </c>
      <c r="G85" s="99">
        <f ca="1">IF(LEFT($A$84,5)="blank",0,G8/'Input Global'!G$18)</f>
        <v>5.306961189413423</v>
      </c>
      <c r="H85" s="99">
        <f ca="1">IF(LEFT($A$84,5)="blank",0,H8/'Input Global'!H$18)</f>
        <v>5.1146080339817193</v>
      </c>
    </row>
    <row r="86" spans="1:8" x14ac:dyDescent="0.3">
      <c r="A86" t="str">
        <f t="shared" ref="A86:A96" si="9">A69</f>
        <v>Transmission</v>
      </c>
      <c r="C86" t="s">
        <v>11</v>
      </c>
      <c r="D86" s="99">
        <f>IF(LEFT($A$84,5)="blank",0,D9/'Input Global'!D$18)</f>
        <v>1.149</v>
      </c>
      <c r="E86" s="99">
        <f>IF(LEFT($A$84,5)="blank",0,E9/'Input Global'!E$18)</f>
        <v>1.377</v>
      </c>
      <c r="F86" s="99">
        <f>IF(LEFT($A$84,5)="blank",0,F9/'Input Global'!F$18)</f>
        <v>1.653</v>
      </c>
      <c r="G86" s="99">
        <f>IF(LEFT($A$84,5)="blank",0,G9/'Input Global'!G$18)</f>
        <v>1.7681587277667981</v>
      </c>
      <c r="H86" s="99">
        <f>IF(LEFT($A$84,5)="blank",0,H9/'Input Global'!H$18)</f>
        <v>1.8913401612691485</v>
      </c>
    </row>
    <row r="87" spans="1:8" x14ac:dyDescent="0.3">
      <c r="A87" t="str">
        <f t="shared" si="9"/>
        <v>Distribution</v>
      </c>
      <c r="C87" t="s">
        <v>11</v>
      </c>
      <c r="D87" s="99">
        <f>IF(LEFT($A$84,5)="blank",0,D10/'Input Global'!D$18)</f>
        <v>5.9003624325649824</v>
      </c>
      <c r="E87" s="99">
        <f>IF(LEFT($A$84,5)="blank",0,E10/'Input Global'!E$18)</f>
        <v>5.8543412017953766</v>
      </c>
      <c r="F87" s="99">
        <f>IF(LEFT($A$84,5)="blank",0,F10/'Input Global'!F$18)</f>
        <v>6.1015645288266089</v>
      </c>
      <c r="G87" s="99">
        <f>IF(LEFT($A$84,5)="blank",0,G10/'Input Global'!G$18)</f>
        <v>6.5133271027211919</v>
      </c>
      <c r="H87" s="99">
        <f>IF(LEFT($A$84,5)="blank",0,H10/'Input Global'!H$18)</f>
        <v>7.0049070260268023</v>
      </c>
    </row>
    <row r="88" spans="1:8" x14ac:dyDescent="0.3">
      <c r="A88" t="str">
        <f t="shared" si="9"/>
        <v>Retail</v>
      </c>
      <c r="C88" t="s">
        <v>11</v>
      </c>
      <c r="D88" s="99">
        <f>IF(LEFT($A$84,5)="blank",0,D11/'Input Global'!D$18)</f>
        <v>1.056</v>
      </c>
      <c r="E88" s="99">
        <f>IF(LEFT($A$84,5)="blank",0,E11/'Input Global'!E$18)</f>
        <v>1.0860000000000001</v>
      </c>
      <c r="F88" s="99">
        <f>IF(LEFT($A$84,5)="blank",0,F11/'Input Global'!F$18)</f>
        <v>1.1131499999999999</v>
      </c>
      <c r="G88" s="99">
        <f>IF(LEFT($A$84,5)="blank",0,G11/'Input Global'!G$18)</f>
        <v>1.1409787499999997</v>
      </c>
      <c r="H88" s="99">
        <f>IF(LEFT($A$84,5)="blank",0,H11/'Input Global'!H$18)</f>
        <v>1.1695032187499996</v>
      </c>
    </row>
    <row r="89" spans="1:8" x14ac:dyDescent="0.3">
      <c r="A89" t="str">
        <f t="shared" si="9"/>
        <v>Retail and Residual</v>
      </c>
      <c r="C89" t="s">
        <v>11</v>
      </c>
      <c r="D89" s="99">
        <f ca="1">IF(LEFT($A$84,5)="blank",0,D12/'Input Global'!D$18)</f>
        <v>0.81651149455850902</v>
      </c>
      <c r="E89" s="99">
        <f ca="1">IF(LEFT($A$84,5)="blank",0,E12/'Input Global'!E$18)</f>
        <v>0.86559191353800879</v>
      </c>
      <c r="F89" s="99">
        <f ca="1">IF(LEFT($A$84,5)="blank",0,F12/'Input Global'!F$18)</f>
        <v>0.97658452849435995</v>
      </c>
      <c r="G89" s="99">
        <f ca="1">IF(LEFT($A$84,5)="blank",0,G12/'Input Global'!G$18)</f>
        <v>1.0145247484785938</v>
      </c>
      <c r="H89" s="99">
        <f ca="1">IF(LEFT($A$84,5)="blank",0,H12/'Input Global'!H$18)</f>
        <v>1.0365893440784819</v>
      </c>
    </row>
    <row r="90" spans="1:8" x14ac:dyDescent="0.3">
      <c r="A90" t="str">
        <f t="shared" si="9"/>
        <v>Green Schemes</v>
      </c>
      <c r="C90" t="s">
        <v>11</v>
      </c>
      <c r="D90" s="95"/>
      <c r="E90" s="95"/>
      <c r="F90" s="95"/>
      <c r="G90" s="95"/>
      <c r="H90" s="95"/>
    </row>
    <row r="91" spans="1:8" x14ac:dyDescent="0.3">
      <c r="A91" s="11" t="str">
        <f t="shared" si="9"/>
        <v>Feed-in Tariffs</v>
      </c>
      <c r="C91" t="s">
        <v>11</v>
      </c>
      <c r="D91" s="99">
        <f>IF(LEFT($A$84,5)="blank",0,D14/'Input Global'!D$18)</f>
        <v>0</v>
      </c>
      <c r="E91" s="99">
        <f>IF(LEFT($A$84,5)="blank",0,E14/'Input Global'!E$18)</f>
        <v>0.33175467853812057</v>
      </c>
      <c r="F91" s="99">
        <f>IF(LEFT($A$84,5)="blank",0,F14/'Input Global'!F$18)</f>
        <v>0.4122341469948716</v>
      </c>
      <c r="G91" s="99">
        <f>IF(LEFT($A$84,5)="blank",0,G14/'Input Global'!G$18)</f>
        <v>0.49288049723650695</v>
      </c>
      <c r="H91" s="99">
        <f>IF(LEFT($A$84,5)="blank",0,H14/'Input Global'!H$18)</f>
        <v>0.53253396544042708</v>
      </c>
    </row>
    <row r="92" spans="1:8" x14ac:dyDescent="0.3">
      <c r="A92" s="11" t="str">
        <f t="shared" si="9"/>
        <v>Carbon costs</v>
      </c>
      <c r="C92" t="s">
        <v>11</v>
      </c>
      <c r="D92" s="99">
        <f ca="1">IF(LEFT($A$84,5)="blank",0,D15/'Input Global'!D$18)</f>
        <v>0</v>
      </c>
      <c r="E92" s="99">
        <f ca="1">IF(LEFT($A$84,5)="blank",0,E15/'Input Global'!E$18)</f>
        <v>0</v>
      </c>
      <c r="F92" s="99">
        <f ca="1">IF(LEFT($A$84,5)="blank",0,F15/'Input Global'!F$18)</f>
        <v>2.1179999999999999</v>
      </c>
      <c r="G92" s="99">
        <f ca="1">IF(LEFT($A$84,5)="blank",0,G15/'Input Global'!G$18)</f>
        <v>2.4759321835053401</v>
      </c>
      <c r="H92" s="99">
        <f ca="1">IF(LEFT($A$84,5)="blank",0,H15/'Input Global'!H$18)</f>
        <v>2.3237675490028114</v>
      </c>
    </row>
    <row r="93" spans="1:8" x14ac:dyDescent="0.3">
      <c r="A93" s="11" t="str">
        <f t="shared" si="9"/>
        <v>Large Scale Renewable Energy Target</v>
      </c>
      <c r="C93" t="s">
        <v>11</v>
      </c>
      <c r="D93" s="99">
        <f ca="1">IF(LEFT($A$84,5)="blank",0,D16/'Input Global'!D$18)</f>
        <v>0.19463509991311903</v>
      </c>
      <c r="E93" s="99">
        <f ca="1">IF(LEFT($A$84,5)="blank",0,E16/'Input Global'!E$18)</f>
        <v>0.49660295395308429</v>
      </c>
      <c r="F93" s="99">
        <f ca="1">IF(LEFT($A$84,5)="blank",0,F16/'Input Global'!F$18)</f>
        <v>0.43499999999999994</v>
      </c>
      <c r="G93" s="99">
        <f ca="1">IF(LEFT($A$84,5)="blank",0,G16/'Input Global'!G$18)</f>
        <v>0.46612711098865739</v>
      </c>
      <c r="H93" s="99">
        <f ca="1">IF(LEFT($A$84,5)="blank",0,H16/'Input Global'!H$18)</f>
        <v>0.49360828894229231</v>
      </c>
    </row>
    <row r="94" spans="1:8" x14ac:dyDescent="0.3">
      <c r="A94" s="11" t="str">
        <f t="shared" si="9"/>
        <v>Small Scale Renewable Energy Scheme</v>
      </c>
      <c r="C94" t="s">
        <v>11</v>
      </c>
      <c r="D94" s="99">
        <f ca="1">IF(LEFT($A$84,5)="blank",0,D17/'Input Global'!D$18)</f>
        <v>0.32036490008688107</v>
      </c>
      <c r="E94" s="99">
        <f ca="1">IF(LEFT($A$84,5)="blank",0,E17/'Input Global'!E$18)</f>
        <v>0.81739704604691588</v>
      </c>
      <c r="F94" s="99">
        <f ca="1">IF(LEFT($A$84,5)="blank",0,F17/'Input Global'!F$18)</f>
        <v>0.71599999999999997</v>
      </c>
      <c r="G94" s="99">
        <f ca="1">IF(LEFT($A$84,5)="blank",0,G17/'Input Global'!G$18)</f>
        <v>0.31512978056426327</v>
      </c>
      <c r="H94" s="99">
        <f ca="1">IF(LEFT($A$84,5)="blank",0,H17/'Input Global'!H$18)</f>
        <v>0.27383072100313477</v>
      </c>
    </row>
    <row r="95" spans="1:8" x14ac:dyDescent="0.3">
      <c r="A95" s="11" t="str">
        <f t="shared" si="9"/>
        <v>Greenhouse gas abatement scheme</v>
      </c>
      <c r="C95" t="s">
        <v>11</v>
      </c>
      <c r="D95" s="99">
        <f ca="1">IF(LEFT($A$84,5)="blank",0,D18/'Input Global'!D$18)</f>
        <v>0.105</v>
      </c>
      <c r="E95" s="99">
        <f ca="1">IF(LEFT($A$84,5)="blank",0,E18/'Input Global'!E$18)</f>
        <v>0.11299999999999999</v>
      </c>
      <c r="F95" s="99">
        <f ca="1">IF(LEFT($A$84,5)="blank",0,F18/'Input Global'!F$18)</f>
        <v>0</v>
      </c>
      <c r="G95" s="99">
        <f ca="1">IF(LEFT($A$84,5)="blank",0,G18/'Input Global'!G$18)</f>
        <v>0</v>
      </c>
      <c r="H95" s="99">
        <f ca="1">IF(LEFT($A$84,5)="blank",0,H18/'Input Global'!H$18)</f>
        <v>0</v>
      </c>
    </row>
    <row r="96" spans="1:8" x14ac:dyDescent="0.3">
      <c r="A96" s="11" t="str">
        <f t="shared" si="9"/>
        <v>Energy Savings</v>
      </c>
      <c r="C96" t="s">
        <v>11</v>
      </c>
      <c r="D96" s="99">
        <f ca="1">IF(LEFT($A$84,5)="blank",0,D19/'Input Global'!D$18)</f>
        <v>0</v>
      </c>
      <c r="E96" s="99">
        <f ca="1">IF(LEFT($A$84,5)="blank",0,E19/'Input Global'!E$18)</f>
        <v>0</v>
      </c>
      <c r="F96" s="99">
        <f ca="1">IF(LEFT($A$84,5)="blank",0,F19/'Input Global'!F$18)</f>
        <v>0.11200000000000002</v>
      </c>
      <c r="G96" s="99">
        <f ca="1">IF(LEFT($A$84,5)="blank",0,G19/'Input Global'!G$18)</f>
        <v>0.308</v>
      </c>
      <c r="H96" s="99">
        <f ca="1">IF(LEFT($A$84,5)="blank",0,H19/'Input Global'!H$18)</f>
        <v>0.39200000000000007</v>
      </c>
    </row>
    <row r="97" spans="1:8" x14ac:dyDescent="0.3">
      <c r="A97" s="12" t="s">
        <v>55</v>
      </c>
      <c r="B97" s="12"/>
      <c r="C97" s="12" t="s">
        <v>11</v>
      </c>
      <c r="D97" s="99">
        <f ca="1">SUM(D85:D96)</f>
        <v>15.93709472712349</v>
      </c>
      <c r="E97" s="99">
        <f t="shared" ref="E97:H97" ca="1" si="10">SUM(E85:E96)</f>
        <v>16.895071793871505</v>
      </c>
      <c r="F97" s="99">
        <f t="shared" ca="1" si="10"/>
        <v>19.061483204315838</v>
      </c>
      <c r="G97" s="99">
        <f t="shared" ca="1" si="10"/>
        <v>19.802020090674773</v>
      </c>
      <c r="H97" s="99">
        <f t="shared" ca="1" si="10"/>
        <v>20.232688308494811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11</v>
      </c>
      <c r="D100" s="99">
        <f>IF(LEFT($A$99,5)="blank",0,D23/'Input Global'!D$19)</f>
        <v>0</v>
      </c>
      <c r="E100" s="99">
        <f>IF(LEFT($A$99,5)="blank",0,E23/'Input Global'!E$19)</f>
        <v>0</v>
      </c>
      <c r="F100" s="99">
        <f>IF(LEFT($A$99,5)="blank",0,F23/'Input Global'!F$19)</f>
        <v>0</v>
      </c>
      <c r="G100" s="99">
        <f>IF(LEFT($A$99,5)="blank",0,G23/'Input Global'!G$19)</f>
        <v>0</v>
      </c>
      <c r="H100" s="99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11</v>
      </c>
      <c r="D101" s="99">
        <f>IF(LEFT($A$99,5)="blank",0,D24/'Input Global'!D$19)</f>
        <v>0</v>
      </c>
      <c r="E101" s="99">
        <f>IF(LEFT($A$99,5)="blank",0,E24/'Input Global'!E$19)</f>
        <v>0</v>
      </c>
      <c r="F101" s="99">
        <f>IF(LEFT($A$99,5)="blank",0,F24/'Input Global'!F$19)</f>
        <v>0</v>
      </c>
      <c r="G101" s="99">
        <f>IF(LEFT($A$99,5)="blank",0,G24/'Input Global'!G$19)</f>
        <v>0</v>
      </c>
      <c r="H101" s="99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11</v>
      </c>
      <c r="D102" s="99">
        <f>IF(LEFT($A$99,5)="blank",0,D25/'Input Global'!D$19)</f>
        <v>0</v>
      </c>
      <c r="E102" s="99">
        <f>IF(LEFT($A$99,5)="blank",0,E25/'Input Global'!E$19)</f>
        <v>0</v>
      </c>
      <c r="F102" s="99">
        <f>IF(LEFT($A$99,5)="blank",0,F25/'Input Global'!F$19)</f>
        <v>0</v>
      </c>
      <c r="G102" s="99">
        <f>IF(LEFT($A$99,5)="blank",0,G25/'Input Global'!G$19)</f>
        <v>0</v>
      </c>
      <c r="H102" s="99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11</v>
      </c>
      <c r="D103" s="99">
        <f>IF(LEFT($A$99,5)="blank",0,D26/'Input Global'!D$19)</f>
        <v>0</v>
      </c>
      <c r="E103" s="99">
        <f>IF(LEFT($A$99,5)="blank",0,E26/'Input Global'!E$19)</f>
        <v>0</v>
      </c>
      <c r="F103" s="99">
        <f>IF(LEFT($A$99,5)="blank",0,F26/'Input Global'!F$19)</f>
        <v>0</v>
      </c>
      <c r="G103" s="99">
        <f>IF(LEFT($A$99,5)="blank",0,G26/'Input Global'!G$19)</f>
        <v>0</v>
      </c>
      <c r="H103" s="99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11</v>
      </c>
      <c r="D104" s="99">
        <f>IF(LEFT($A$99,5)="blank",0,D27/'Input Global'!D$19)</f>
        <v>0</v>
      </c>
      <c r="E104" s="99">
        <f>IF(LEFT($A$99,5)="blank",0,E27/'Input Global'!E$19)</f>
        <v>0</v>
      </c>
      <c r="F104" s="99">
        <f>IF(LEFT($A$99,5)="blank",0,F27/'Input Global'!F$19)</f>
        <v>0</v>
      </c>
      <c r="G104" s="99">
        <f>IF(LEFT($A$99,5)="blank",0,G27/'Input Global'!G$19)</f>
        <v>0</v>
      </c>
      <c r="H104" s="99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11</v>
      </c>
      <c r="D105" s="95"/>
      <c r="E105" s="95"/>
      <c r="F105" s="95"/>
      <c r="G105" s="95"/>
      <c r="H105" s="95"/>
    </row>
    <row r="106" spans="1:8" hidden="1" x14ac:dyDescent="0.3">
      <c r="A106" s="11" t="str">
        <f t="shared" si="11"/>
        <v>Feed-in Tariffs</v>
      </c>
      <c r="C106" t="s">
        <v>11</v>
      </c>
      <c r="D106" s="99">
        <f>IF(LEFT($A$99,5)="blank",0,D29/'Input Global'!D$19)</f>
        <v>0</v>
      </c>
      <c r="E106" s="99">
        <f>IF(LEFT($A$99,5)="blank",0,E29/'Input Global'!E$19)</f>
        <v>0</v>
      </c>
      <c r="F106" s="99">
        <f>IF(LEFT($A$99,5)="blank",0,F29/'Input Global'!F$19)</f>
        <v>0</v>
      </c>
      <c r="G106" s="99">
        <f>IF(LEFT($A$99,5)="blank",0,G29/'Input Global'!G$19)</f>
        <v>0</v>
      </c>
      <c r="H106" s="99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11</v>
      </c>
      <c r="D107" s="99">
        <f>IF(LEFT($A$99,5)="blank",0,D30/'Input Global'!D$19)</f>
        <v>0</v>
      </c>
      <c r="E107" s="99">
        <f>IF(LEFT($A$99,5)="blank",0,E30/'Input Global'!E$19)</f>
        <v>0</v>
      </c>
      <c r="F107" s="99">
        <f>IF(LEFT($A$99,5)="blank",0,F30/'Input Global'!F$19)</f>
        <v>0</v>
      </c>
      <c r="G107" s="99">
        <f>IF(LEFT($A$99,5)="blank",0,G30/'Input Global'!G$19)</f>
        <v>0</v>
      </c>
      <c r="H107" s="99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11</v>
      </c>
      <c r="D108" s="99">
        <f>IF(LEFT($A$99,5)="blank",0,D31/'Input Global'!D$19)</f>
        <v>0</v>
      </c>
      <c r="E108" s="99">
        <f>IF(LEFT($A$99,5)="blank",0,E31/'Input Global'!E$19)</f>
        <v>0</v>
      </c>
      <c r="F108" s="99">
        <f>IF(LEFT($A$99,5)="blank",0,F31/'Input Global'!F$19)</f>
        <v>0</v>
      </c>
      <c r="G108" s="99">
        <f>IF(LEFT($A$99,5)="blank",0,G31/'Input Global'!G$19)</f>
        <v>0</v>
      </c>
      <c r="H108" s="99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11</v>
      </c>
      <c r="D109" s="99">
        <f>IF(LEFT($A$99,5)="blank",0,D32/'Input Global'!D$19)</f>
        <v>0</v>
      </c>
      <c r="E109" s="99">
        <f>IF(LEFT($A$99,5)="blank",0,E32/'Input Global'!E$19)</f>
        <v>0</v>
      </c>
      <c r="F109" s="99">
        <f>IF(LEFT($A$99,5)="blank",0,F32/'Input Global'!F$19)</f>
        <v>0</v>
      </c>
      <c r="G109" s="99">
        <f>IF(LEFT($A$99,5)="blank",0,G32/'Input Global'!G$19)</f>
        <v>0</v>
      </c>
      <c r="H109" s="99">
        <f>IF(LEFT($A$99,5)="blank",0,H32/'Input Global'!H$19)</f>
        <v>0</v>
      </c>
    </row>
    <row r="110" spans="1:8" hidden="1" x14ac:dyDescent="0.3">
      <c r="A110" s="11" t="str">
        <f t="shared" si="11"/>
        <v>Greenhouse gas abatement scheme</v>
      </c>
      <c r="C110" t="s">
        <v>11</v>
      </c>
      <c r="D110" s="99">
        <f>IF(LEFT($A$99,5)="blank",0,D33/'Input Global'!D$19)</f>
        <v>0</v>
      </c>
      <c r="E110" s="99">
        <f>IF(LEFT($A$99,5)="blank",0,E33/'Input Global'!E$19)</f>
        <v>0</v>
      </c>
      <c r="F110" s="99">
        <f>IF(LEFT($A$99,5)="blank",0,F33/'Input Global'!F$19)</f>
        <v>0</v>
      </c>
      <c r="G110" s="99">
        <f>IF(LEFT($A$99,5)="blank",0,G33/'Input Global'!G$19)</f>
        <v>0</v>
      </c>
      <c r="H110" s="99">
        <f>IF(LEFT($A$99,5)="blank",0,H33/'Input Global'!H$19)</f>
        <v>0</v>
      </c>
    </row>
    <row r="111" spans="1:8" hidden="1" x14ac:dyDescent="0.3">
      <c r="A111" s="11" t="str">
        <f t="shared" si="11"/>
        <v>Energy Savings</v>
      </c>
      <c r="C111" t="s">
        <v>11</v>
      </c>
      <c r="D111" s="99">
        <f>IF(LEFT($A$99,5)="blank",0,D34/'Input Global'!D$19)</f>
        <v>0</v>
      </c>
      <c r="E111" s="99">
        <f>IF(LEFT($A$99,5)="blank",0,E34/'Input Global'!E$19)</f>
        <v>0</v>
      </c>
      <c r="F111" s="99">
        <f>IF(LEFT($A$99,5)="blank",0,F34/'Input Global'!F$19)</f>
        <v>0</v>
      </c>
      <c r="G111" s="99">
        <f>IF(LEFT($A$99,5)="blank",0,G34/'Input Global'!G$19)</f>
        <v>0</v>
      </c>
      <c r="H111" s="99">
        <f>IF(LEFT($A$99,5)="blank",0,H34/'Input Global'!H$19)</f>
        <v>0</v>
      </c>
    </row>
    <row r="112" spans="1:8" hidden="1" x14ac:dyDescent="0.3">
      <c r="A112" s="12" t="s">
        <v>55</v>
      </c>
      <c r="B112" s="12"/>
      <c r="C112" s="12" t="s">
        <v>11</v>
      </c>
      <c r="D112" s="99">
        <f>SUM(D100:D111)</f>
        <v>0</v>
      </c>
      <c r="E112" s="99">
        <f t="shared" ref="E112:H112" si="12">SUM(E100:E111)</f>
        <v>0</v>
      </c>
      <c r="F112" s="99">
        <f t="shared" si="12"/>
        <v>0</v>
      </c>
      <c r="G112" s="99">
        <f t="shared" si="12"/>
        <v>0</v>
      </c>
      <c r="H112" s="99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11</v>
      </c>
      <c r="D115" s="99">
        <f>IF(LEFT($A$114,5)="blank",0,D38/'Input Global'!D$20)</f>
        <v>0</v>
      </c>
      <c r="E115" s="99">
        <f>IF(LEFT($A$114,5)="blank",0,E38/'Input Global'!E$20)</f>
        <v>0</v>
      </c>
      <c r="F115" s="99">
        <f>IF(LEFT($A$114,5)="blank",0,F38/'Input Global'!F$20)</f>
        <v>0</v>
      </c>
      <c r="G115" s="99">
        <f>IF(LEFT($A$114,5)="blank",0,G38/'Input Global'!G$20)</f>
        <v>0</v>
      </c>
      <c r="H115" s="99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11</v>
      </c>
      <c r="D116" s="99">
        <f>IF(LEFT($A$114,5)="blank",0,D39/'Input Global'!D$20)</f>
        <v>0</v>
      </c>
      <c r="E116" s="99">
        <f>IF(LEFT($A$114,5)="blank",0,E39/'Input Global'!E$20)</f>
        <v>0</v>
      </c>
      <c r="F116" s="99">
        <f>IF(LEFT($A$114,5)="blank",0,F39/'Input Global'!F$20)</f>
        <v>0</v>
      </c>
      <c r="G116" s="99">
        <f>IF(LEFT($A$114,5)="blank",0,G39/'Input Global'!G$20)</f>
        <v>0</v>
      </c>
      <c r="H116" s="99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11</v>
      </c>
      <c r="D117" s="99">
        <f>IF(LEFT($A$114,5)="blank",0,D40/'Input Global'!D$20)</f>
        <v>0</v>
      </c>
      <c r="E117" s="99">
        <f>IF(LEFT($A$114,5)="blank",0,E40/'Input Global'!E$20)</f>
        <v>0</v>
      </c>
      <c r="F117" s="99">
        <f>IF(LEFT($A$114,5)="blank",0,F40/'Input Global'!F$20)</f>
        <v>0</v>
      </c>
      <c r="G117" s="99">
        <f>IF(LEFT($A$114,5)="blank",0,G40/'Input Global'!G$20)</f>
        <v>0</v>
      </c>
      <c r="H117" s="99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11</v>
      </c>
      <c r="D118" s="99">
        <f>IF(LEFT($A$114,5)="blank",0,D41/'Input Global'!D$20)</f>
        <v>0</v>
      </c>
      <c r="E118" s="99">
        <f>IF(LEFT($A$114,5)="blank",0,E41/'Input Global'!E$20)</f>
        <v>0</v>
      </c>
      <c r="F118" s="99">
        <f>IF(LEFT($A$114,5)="blank",0,F41/'Input Global'!F$20)</f>
        <v>0</v>
      </c>
      <c r="G118" s="99">
        <f>IF(LEFT($A$114,5)="blank",0,G41/'Input Global'!G$20)</f>
        <v>0</v>
      </c>
      <c r="H118" s="99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11</v>
      </c>
      <c r="D119" s="99">
        <f>IF(LEFT($A$114,5)="blank",0,D42/'Input Global'!D$20)</f>
        <v>0</v>
      </c>
      <c r="E119" s="99">
        <f>IF(LEFT($A$114,5)="blank",0,E42/'Input Global'!E$20)</f>
        <v>0</v>
      </c>
      <c r="F119" s="99">
        <f>IF(LEFT($A$114,5)="blank",0,F42/'Input Global'!F$20)</f>
        <v>0</v>
      </c>
      <c r="G119" s="99">
        <f>IF(LEFT($A$114,5)="blank",0,G42/'Input Global'!G$20)</f>
        <v>0</v>
      </c>
      <c r="H119" s="99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11</v>
      </c>
      <c r="D120" s="95"/>
      <c r="E120" s="95"/>
      <c r="F120" s="95"/>
      <c r="G120" s="95"/>
      <c r="H120" s="95"/>
    </row>
    <row r="121" spans="1:8" hidden="1" x14ac:dyDescent="0.3">
      <c r="A121" s="11" t="str">
        <f t="shared" si="13"/>
        <v>Feed-in Tariffs</v>
      </c>
      <c r="C121" t="s">
        <v>11</v>
      </c>
      <c r="D121" s="99">
        <f>IF(LEFT($A$114,5)="blank",0,D44/'Input Global'!D$20)</f>
        <v>0</v>
      </c>
      <c r="E121" s="99">
        <f>IF(LEFT($A$114,5)="blank",0,E44/'Input Global'!E$20)</f>
        <v>0</v>
      </c>
      <c r="F121" s="99">
        <f>IF(LEFT($A$114,5)="blank",0,F44/'Input Global'!F$20)</f>
        <v>0</v>
      </c>
      <c r="G121" s="99">
        <f>IF(LEFT($A$114,5)="blank",0,G44/'Input Global'!G$20)</f>
        <v>0</v>
      </c>
      <c r="H121" s="99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11</v>
      </c>
      <c r="D122" s="99">
        <f>IF(LEFT($A$114,5)="blank",0,D45/'Input Global'!D$20)</f>
        <v>0</v>
      </c>
      <c r="E122" s="99">
        <f>IF(LEFT($A$114,5)="blank",0,E45/'Input Global'!E$20)</f>
        <v>0</v>
      </c>
      <c r="F122" s="99">
        <f>IF(LEFT($A$114,5)="blank",0,F45/'Input Global'!F$20)</f>
        <v>0</v>
      </c>
      <c r="G122" s="99">
        <f>IF(LEFT($A$114,5)="blank",0,G45/'Input Global'!G$20)</f>
        <v>0</v>
      </c>
      <c r="H122" s="99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11</v>
      </c>
      <c r="D123" s="99">
        <f>IF(LEFT($A$114,5)="blank",0,D46/'Input Global'!D$20)</f>
        <v>0</v>
      </c>
      <c r="E123" s="99">
        <f>IF(LEFT($A$114,5)="blank",0,E46/'Input Global'!E$20)</f>
        <v>0</v>
      </c>
      <c r="F123" s="99">
        <f>IF(LEFT($A$114,5)="blank",0,F46/'Input Global'!F$20)</f>
        <v>0</v>
      </c>
      <c r="G123" s="99">
        <f>IF(LEFT($A$114,5)="blank",0,G46/'Input Global'!G$20)</f>
        <v>0</v>
      </c>
      <c r="H123" s="99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11</v>
      </c>
      <c r="D124" s="99">
        <f>IF(LEFT($A$114,5)="blank",0,D47/'Input Global'!D$20)</f>
        <v>0</v>
      </c>
      <c r="E124" s="99">
        <f>IF(LEFT($A$114,5)="blank",0,E47/'Input Global'!E$20)</f>
        <v>0</v>
      </c>
      <c r="F124" s="99">
        <f>IF(LEFT($A$114,5)="blank",0,F47/'Input Global'!F$20)</f>
        <v>0</v>
      </c>
      <c r="G124" s="99">
        <f>IF(LEFT($A$114,5)="blank",0,G47/'Input Global'!G$20)</f>
        <v>0</v>
      </c>
      <c r="H124" s="99">
        <f>IF(LEFT($A$114,5)="blank",0,H47/'Input Global'!H$20)</f>
        <v>0</v>
      </c>
    </row>
    <row r="125" spans="1:8" hidden="1" x14ac:dyDescent="0.3">
      <c r="A125" s="11" t="str">
        <f t="shared" si="13"/>
        <v>Greenhouse gas abatement scheme</v>
      </c>
      <c r="C125" t="s">
        <v>11</v>
      </c>
      <c r="D125" s="99">
        <f>IF(LEFT($A$114,5)="blank",0,D48/'Input Global'!D$20)</f>
        <v>0</v>
      </c>
      <c r="E125" s="99">
        <f>IF(LEFT($A$114,5)="blank",0,E48/'Input Global'!E$20)</f>
        <v>0</v>
      </c>
      <c r="F125" s="99">
        <f>IF(LEFT($A$114,5)="blank",0,F48/'Input Global'!F$20)</f>
        <v>0</v>
      </c>
      <c r="G125" s="99">
        <f>IF(LEFT($A$114,5)="blank",0,G48/'Input Global'!G$20)</f>
        <v>0</v>
      </c>
      <c r="H125" s="99">
        <f>IF(LEFT($A$114,5)="blank",0,H48/'Input Global'!H$20)</f>
        <v>0</v>
      </c>
    </row>
    <row r="126" spans="1:8" hidden="1" x14ac:dyDescent="0.3">
      <c r="A126" s="11" t="str">
        <f t="shared" si="13"/>
        <v>Energy Savings</v>
      </c>
      <c r="C126" t="s">
        <v>11</v>
      </c>
      <c r="D126" s="99">
        <f>IF(LEFT($A$114,5)="blank",0,D49/'Input Global'!D$20)</f>
        <v>0</v>
      </c>
      <c r="E126" s="99">
        <f>IF(LEFT($A$114,5)="blank",0,E49/'Input Global'!E$20)</f>
        <v>0</v>
      </c>
      <c r="F126" s="99">
        <f>IF(LEFT($A$114,5)="blank",0,F49/'Input Global'!F$20)</f>
        <v>0</v>
      </c>
      <c r="G126" s="99">
        <f>IF(LEFT($A$114,5)="blank",0,G49/'Input Global'!G$20)</f>
        <v>0</v>
      </c>
      <c r="H126" s="99">
        <f>IF(LEFT($A$114,5)="blank",0,H49/'Input Global'!H$20)</f>
        <v>0</v>
      </c>
    </row>
    <row r="127" spans="1:8" hidden="1" x14ac:dyDescent="0.3">
      <c r="A127" s="12" t="s">
        <v>55</v>
      </c>
      <c r="B127" s="12"/>
      <c r="C127" s="12" t="s">
        <v>11</v>
      </c>
      <c r="D127" s="99">
        <f>SUM(D115:D126)</f>
        <v>0</v>
      </c>
      <c r="E127" s="99">
        <f t="shared" ref="E127:H127" si="14">SUM(E115:E126)</f>
        <v>0</v>
      </c>
      <c r="F127" s="99">
        <f t="shared" si="14"/>
        <v>0</v>
      </c>
      <c r="G127" s="99">
        <f t="shared" si="14"/>
        <v>0</v>
      </c>
      <c r="H127" s="99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11</v>
      </c>
      <c r="D130" s="99">
        <f>IF(LEFT($A$129,5)="blank",0,D53/'Input Global'!D$21)</f>
        <v>0</v>
      </c>
      <c r="E130" s="99">
        <f>IF(LEFT($A$129,5)="blank",0,E53/'Input Global'!E$21)</f>
        <v>0</v>
      </c>
      <c r="F130" s="99">
        <f>IF(LEFT($A$129,5)="blank",0,F53/'Input Global'!F$21)</f>
        <v>0</v>
      </c>
      <c r="G130" s="99">
        <f>IF(LEFT($A$129,5)="blank",0,G53/'Input Global'!G$21)</f>
        <v>0</v>
      </c>
      <c r="H130" s="99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11</v>
      </c>
      <c r="D131" s="99">
        <f>IF(LEFT($A$129,5)="blank",0,D54/'Input Global'!D$21)</f>
        <v>0</v>
      </c>
      <c r="E131" s="99">
        <f>IF(LEFT($A$129,5)="blank",0,E54/'Input Global'!E$21)</f>
        <v>0</v>
      </c>
      <c r="F131" s="99">
        <f>IF(LEFT($A$129,5)="blank",0,F54/'Input Global'!F$21)</f>
        <v>0</v>
      </c>
      <c r="G131" s="99">
        <f>IF(LEFT($A$129,5)="blank",0,G54/'Input Global'!G$21)</f>
        <v>0</v>
      </c>
      <c r="H131" s="99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11</v>
      </c>
      <c r="D132" s="99">
        <f>IF(LEFT($A$129,5)="blank",0,D55/'Input Global'!D$21)</f>
        <v>0</v>
      </c>
      <c r="E132" s="99">
        <f>IF(LEFT($A$129,5)="blank",0,E55/'Input Global'!E$21)</f>
        <v>0</v>
      </c>
      <c r="F132" s="99">
        <f>IF(LEFT($A$129,5)="blank",0,F55/'Input Global'!F$21)</f>
        <v>0</v>
      </c>
      <c r="G132" s="99">
        <f>IF(LEFT($A$129,5)="blank",0,G55/'Input Global'!G$21)</f>
        <v>0</v>
      </c>
      <c r="H132" s="99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11</v>
      </c>
      <c r="D133" s="99">
        <f>IF(LEFT($A$129,5)="blank",0,D56/'Input Global'!D$21)</f>
        <v>0</v>
      </c>
      <c r="E133" s="99">
        <f>IF(LEFT($A$129,5)="blank",0,E56/'Input Global'!E$21)</f>
        <v>0</v>
      </c>
      <c r="F133" s="99">
        <f>IF(LEFT($A$129,5)="blank",0,F56/'Input Global'!F$21)</f>
        <v>0</v>
      </c>
      <c r="G133" s="99">
        <f>IF(LEFT($A$129,5)="blank",0,G56/'Input Global'!G$21)</f>
        <v>0</v>
      </c>
      <c r="H133" s="99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11</v>
      </c>
      <c r="D134" s="99">
        <f>IF(LEFT($A$129,5)="blank",0,D57/'Input Global'!D$21)</f>
        <v>0</v>
      </c>
      <c r="E134" s="99">
        <f>IF(LEFT($A$129,5)="blank",0,E57/'Input Global'!E$21)</f>
        <v>0</v>
      </c>
      <c r="F134" s="99">
        <f>IF(LEFT($A$129,5)="blank",0,F57/'Input Global'!F$21)</f>
        <v>0</v>
      </c>
      <c r="G134" s="99">
        <f>IF(LEFT($A$129,5)="blank",0,G57/'Input Global'!G$21)</f>
        <v>0</v>
      </c>
      <c r="H134" s="99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11</v>
      </c>
      <c r="D135" s="95"/>
      <c r="E135" s="95"/>
      <c r="F135" s="95"/>
      <c r="G135" s="95"/>
      <c r="H135" s="95"/>
    </row>
    <row r="136" spans="1:8" hidden="1" x14ac:dyDescent="0.3">
      <c r="A136" s="11" t="str">
        <f t="shared" si="15"/>
        <v>Feed-in Tariffs</v>
      </c>
      <c r="C136" t="s">
        <v>11</v>
      </c>
      <c r="D136" s="99">
        <f>IF(LEFT($A$129,5)="blank",0,D59/'Input Global'!D$21)</f>
        <v>0</v>
      </c>
      <c r="E136" s="99">
        <f>IF(LEFT($A$129,5)="blank",0,E59/'Input Global'!E$21)</f>
        <v>0</v>
      </c>
      <c r="F136" s="99">
        <f>IF(LEFT($A$129,5)="blank",0,F59/'Input Global'!F$21)</f>
        <v>0</v>
      </c>
      <c r="G136" s="99">
        <f>IF(LEFT($A$129,5)="blank",0,G59/'Input Global'!G$21)</f>
        <v>0</v>
      </c>
      <c r="H136" s="99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11</v>
      </c>
      <c r="D137" s="99">
        <f>IF(LEFT($A$129,5)="blank",0,D60/'Input Global'!D$21)</f>
        <v>0</v>
      </c>
      <c r="E137" s="99">
        <f>IF(LEFT($A$129,5)="blank",0,E60/'Input Global'!E$21)</f>
        <v>0</v>
      </c>
      <c r="F137" s="99">
        <f>IF(LEFT($A$129,5)="blank",0,F60/'Input Global'!F$21)</f>
        <v>0</v>
      </c>
      <c r="G137" s="99">
        <f>IF(LEFT($A$129,5)="blank",0,G60/'Input Global'!G$21)</f>
        <v>0</v>
      </c>
      <c r="H137" s="99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11</v>
      </c>
      <c r="D138" s="99">
        <f>IF(LEFT($A$129,5)="blank",0,D61/'Input Global'!D$21)</f>
        <v>0</v>
      </c>
      <c r="E138" s="99">
        <f>IF(LEFT($A$129,5)="blank",0,E61/'Input Global'!E$21)</f>
        <v>0</v>
      </c>
      <c r="F138" s="99">
        <f>IF(LEFT($A$129,5)="blank",0,F61/'Input Global'!F$21)</f>
        <v>0</v>
      </c>
      <c r="G138" s="99">
        <f>IF(LEFT($A$129,5)="blank",0,G61/'Input Global'!G$21)</f>
        <v>0</v>
      </c>
      <c r="H138" s="99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11</v>
      </c>
      <c r="D139" s="99">
        <f>IF(LEFT($A$129,5)="blank",0,D62/'Input Global'!D$21)</f>
        <v>0</v>
      </c>
      <c r="E139" s="99">
        <f>IF(LEFT($A$129,5)="blank",0,E62/'Input Global'!E$21)</f>
        <v>0</v>
      </c>
      <c r="F139" s="99">
        <f>IF(LEFT($A$129,5)="blank",0,F62/'Input Global'!F$21)</f>
        <v>0</v>
      </c>
      <c r="G139" s="99">
        <f>IF(LEFT($A$129,5)="blank",0,G62/'Input Global'!G$21)</f>
        <v>0</v>
      </c>
      <c r="H139" s="99">
        <f>IF(LEFT($A$129,5)="blank",0,H62/'Input Global'!H$21)</f>
        <v>0</v>
      </c>
    </row>
    <row r="140" spans="1:8" hidden="1" x14ac:dyDescent="0.3">
      <c r="A140" s="11" t="str">
        <f t="shared" si="15"/>
        <v>Greenhouse gas abatement scheme</v>
      </c>
      <c r="C140" t="s">
        <v>11</v>
      </c>
      <c r="D140" s="99">
        <f>IF(LEFT($A$129,5)="blank",0,D63/'Input Global'!D$21)</f>
        <v>0</v>
      </c>
      <c r="E140" s="99">
        <f>IF(LEFT($A$129,5)="blank",0,E63/'Input Global'!E$21)</f>
        <v>0</v>
      </c>
      <c r="F140" s="99">
        <f>IF(LEFT($A$129,5)="blank",0,F63/'Input Global'!F$21)</f>
        <v>0</v>
      </c>
      <c r="G140" s="99">
        <f>IF(LEFT($A$129,5)="blank",0,G63/'Input Global'!G$21)</f>
        <v>0</v>
      </c>
      <c r="H140" s="99">
        <f>IF(LEFT($A$129,5)="blank",0,H63/'Input Global'!H$21)</f>
        <v>0</v>
      </c>
    </row>
    <row r="141" spans="1:8" hidden="1" x14ac:dyDescent="0.3">
      <c r="A141" s="11" t="str">
        <f t="shared" si="15"/>
        <v>Energy Savings</v>
      </c>
      <c r="C141" t="s">
        <v>11</v>
      </c>
      <c r="D141" s="99">
        <f>IF(LEFT($A$129,5)="blank",0,D64/'Input Global'!D$21)</f>
        <v>0</v>
      </c>
      <c r="E141" s="99">
        <f>IF(LEFT($A$129,5)="blank",0,E64/'Input Global'!E$21)</f>
        <v>0</v>
      </c>
      <c r="F141" s="99">
        <f>IF(LEFT($A$129,5)="blank",0,F64/'Input Global'!F$21)</f>
        <v>0</v>
      </c>
      <c r="G141" s="99">
        <f>IF(LEFT($A$129,5)="blank",0,G64/'Input Global'!G$21)</f>
        <v>0</v>
      </c>
      <c r="H141" s="99">
        <f>IF(LEFT($A$129,5)="blank",0,H64/'Input Global'!H$21)</f>
        <v>0</v>
      </c>
    </row>
    <row r="142" spans="1:8" hidden="1" x14ac:dyDescent="0.3">
      <c r="A142" s="12" t="s">
        <v>55</v>
      </c>
      <c r="B142" s="12"/>
      <c r="C142" s="12" t="s">
        <v>11</v>
      </c>
      <c r="D142" s="99">
        <f>SUM(D130:D141)</f>
        <v>0</v>
      </c>
      <c r="E142" s="99">
        <f t="shared" ref="E142:H142" si="16">SUM(E130:E141)</f>
        <v>0</v>
      </c>
      <c r="F142" s="99">
        <f t="shared" si="16"/>
        <v>0</v>
      </c>
      <c r="G142" s="99">
        <f t="shared" si="16"/>
        <v>0</v>
      </c>
      <c r="H142" s="99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11</v>
      </c>
      <c r="D145" s="99">
        <f>IF(LEFT($A$144,5)="blank",0,D68/'Input Global'!D$22)</f>
        <v>0</v>
      </c>
      <c r="E145" s="99">
        <f>IF(LEFT($A$144,5)="blank",0,E68/'Input Global'!E$22)</f>
        <v>0</v>
      </c>
      <c r="F145" s="99">
        <f>IF(LEFT($A$144,5)="blank",0,F68/'Input Global'!F$22)</f>
        <v>0</v>
      </c>
      <c r="G145" s="99">
        <f>IF(LEFT($A$144,5)="blank",0,G68/'Input Global'!G$22)</f>
        <v>0</v>
      </c>
      <c r="H145" s="99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11</v>
      </c>
      <c r="D146" s="99">
        <f>IF(LEFT($A$144,5)="blank",0,D69/'Input Global'!D$22)</f>
        <v>0</v>
      </c>
      <c r="E146" s="99">
        <f>IF(LEFT($A$144,5)="blank",0,E69/'Input Global'!E$22)</f>
        <v>0</v>
      </c>
      <c r="F146" s="99">
        <f>IF(LEFT($A$144,5)="blank",0,F69/'Input Global'!F$22)</f>
        <v>0</v>
      </c>
      <c r="G146" s="99">
        <f>IF(LEFT($A$144,5)="blank",0,G69/'Input Global'!G$22)</f>
        <v>0</v>
      </c>
      <c r="H146" s="99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11</v>
      </c>
      <c r="D147" s="99">
        <f>IF(LEFT($A$144,5)="blank",0,D70/'Input Global'!D$22)</f>
        <v>0</v>
      </c>
      <c r="E147" s="99">
        <f>IF(LEFT($A$144,5)="blank",0,E70/'Input Global'!E$22)</f>
        <v>0</v>
      </c>
      <c r="F147" s="99">
        <f>IF(LEFT($A$144,5)="blank",0,F70/'Input Global'!F$22)</f>
        <v>0</v>
      </c>
      <c r="G147" s="99">
        <f>IF(LEFT($A$144,5)="blank",0,G70/'Input Global'!G$22)</f>
        <v>0</v>
      </c>
      <c r="H147" s="99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11</v>
      </c>
      <c r="D148" s="99">
        <f>IF(LEFT($A$144,5)="blank",0,D71/'Input Global'!D$22)</f>
        <v>0</v>
      </c>
      <c r="E148" s="99">
        <f>IF(LEFT($A$144,5)="blank",0,E71/'Input Global'!E$22)</f>
        <v>0</v>
      </c>
      <c r="F148" s="99">
        <f>IF(LEFT($A$144,5)="blank",0,F71/'Input Global'!F$22)</f>
        <v>0</v>
      </c>
      <c r="G148" s="99">
        <f>IF(LEFT($A$144,5)="blank",0,G71/'Input Global'!G$22)</f>
        <v>0</v>
      </c>
      <c r="H148" s="99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11</v>
      </c>
      <c r="D149" s="99">
        <f>IF(LEFT($A$144,5)="blank",0,D72/'Input Global'!D$22)</f>
        <v>0</v>
      </c>
      <c r="E149" s="99">
        <f>IF(LEFT($A$144,5)="blank",0,E72/'Input Global'!E$22)</f>
        <v>0</v>
      </c>
      <c r="F149" s="99">
        <f>IF(LEFT($A$144,5)="blank",0,F72/'Input Global'!F$22)</f>
        <v>0</v>
      </c>
      <c r="G149" s="99">
        <f>IF(LEFT($A$144,5)="blank",0,G72/'Input Global'!G$22)</f>
        <v>0</v>
      </c>
      <c r="H149" s="99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11</v>
      </c>
      <c r="D150" s="95"/>
      <c r="E150" s="95"/>
      <c r="F150" s="95"/>
      <c r="G150" s="95"/>
      <c r="H150" s="95"/>
    </row>
    <row r="151" spans="1:8" hidden="1" x14ac:dyDescent="0.3">
      <c r="A151" s="11" t="str">
        <f t="shared" si="17"/>
        <v>Feed-in Tariffs</v>
      </c>
      <c r="C151" t="s">
        <v>11</v>
      </c>
      <c r="D151" s="99">
        <f>IF(LEFT($A$144,5)="blank",0,D74/'Input Global'!D$22)</f>
        <v>0</v>
      </c>
      <c r="E151" s="99">
        <f>IF(LEFT($A$144,5)="blank",0,E74/'Input Global'!E$22)</f>
        <v>0</v>
      </c>
      <c r="F151" s="99">
        <f>IF(LEFT($A$144,5)="blank",0,F74/'Input Global'!F$22)</f>
        <v>0</v>
      </c>
      <c r="G151" s="99">
        <f>IF(LEFT($A$144,5)="blank",0,G74/'Input Global'!G$22)</f>
        <v>0</v>
      </c>
      <c r="H151" s="99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11</v>
      </c>
      <c r="D152" s="99">
        <f>IF(LEFT($A$144,5)="blank",0,D75/'Input Global'!D$22)</f>
        <v>0</v>
      </c>
      <c r="E152" s="99">
        <f>IF(LEFT($A$144,5)="blank",0,E75/'Input Global'!E$22)</f>
        <v>0</v>
      </c>
      <c r="F152" s="99">
        <f>IF(LEFT($A$144,5)="blank",0,F75/'Input Global'!F$22)</f>
        <v>0</v>
      </c>
      <c r="G152" s="99">
        <f>IF(LEFT($A$144,5)="blank",0,G75/'Input Global'!G$22)</f>
        <v>0</v>
      </c>
      <c r="H152" s="99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11</v>
      </c>
      <c r="D153" s="99">
        <f>IF(LEFT($A$144,5)="blank",0,D76/'Input Global'!D$22)</f>
        <v>0</v>
      </c>
      <c r="E153" s="99">
        <f>IF(LEFT($A$144,5)="blank",0,E76/'Input Global'!E$22)</f>
        <v>0</v>
      </c>
      <c r="F153" s="99">
        <f>IF(LEFT($A$144,5)="blank",0,F76/'Input Global'!F$22)</f>
        <v>0</v>
      </c>
      <c r="G153" s="99">
        <f>IF(LEFT($A$144,5)="blank",0,G76/'Input Global'!G$22)</f>
        <v>0</v>
      </c>
      <c r="H153" s="99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11</v>
      </c>
      <c r="D154" s="99">
        <f>IF(LEFT($A$144,5)="blank",0,D77/'Input Global'!D$22)</f>
        <v>0</v>
      </c>
      <c r="E154" s="99">
        <f>IF(LEFT($A$144,5)="blank",0,E77/'Input Global'!E$22)</f>
        <v>0</v>
      </c>
      <c r="F154" s="99">
        <f>IF(LEFT($A$144,5)="blank",0,F77/'Input Global'!F$22)</f>
        <v>0</v>
      </c>
      <c r="G154" s="99">
        <f>IF(LEFT($A$144,5)="blank",0,G77/'Input Global'!G$22)</f>
        <v>0</v>
      </c>
      <c r="H154" s="99">
        <f>IF(LEFT($A$144,5)="blank",0,H77/'Input Global'!H$22)</f>
        <v>0</v>
      </c>
    </row>
    <row r="155" spans="1:8" hidden="1" x14ac:dyDescent="0.3">
      <c r="A155" s="11" t="str">
        <f t="shared" si="17"/>
        <v>Greenhouse gas abatement scheme</v>
      </c>
      <c r="C155" t="s">
        <v>11</v>
      </c>
      <c r="D155" s="99">
        <f>IF(LEFT($A$144,5)="blank",0,D78/'Input Global'!D$22)</f>
        <v>0</v>
      </c>
      <c r="E155" s="99">
        <f>IF(LEFT($A$144,5)="blank",0,E78/'Input Global'!E$22)</f>
        <v>0</v>
      </c>
      <c r="F155" s="99">
        <f>IF(LEFT($A$144,5)="blank",0,F78/'Input Global'!F$22)</f>
        <v>0</v>
      </c>
      <c r="G155" s="99">
        <f>IF(LEFT($A$144,5)="blank",0,G78/'Input Global'!G$22)</f>
        <v>0</v>
      </c>
      <c r="H155" s="99">
        <f>IF(LEFT($A$144,5)="blank",0,H78/'Input Global'!H$22)</f>
        <v>0</v>
      </c>
    </row>
    <row r="156" spans="1:8" hidden="1" x14ac:dyDescent="0.3">
      <c r="A156" s="11" t="str">
        <f t="shared" si="17"/>
        <v>Energy Savings</v>
      </c>
      <c r="C156" t="s">
        <v>11</v>
      </c>
      <c r="D156" s="99">
        <f>IF(LEFT($A$144,5)="blank",0,D79/'Input Global'!D$22)</f>
        <v>0</v>
      </c>
      <c r="E156" s="99">
        <f>IF(LEFT($A$144,5)="blank",0,E79/'Input Global'!E$22)</f>
        <v>0</v>
      </c>
      <c r="F156" s="99">
        <f>IF(LEFT($A$144,5)="blank",0,F79/'Input Global'!F$22)</f>
        <v>0</v>
      </c>
      <c r="G156" s="99">
        <f>IF(LEFT($A$144,5)="blank",0,G79/'Input Global'!G$22)</f>
        <v>0</v>
      </c>
      <c r="H156" s="99">
        <f>IF(LEFT($A$144,5)="blank",0,H79/'Input Global'!H$22)</f>
        <v>0</v>
      </c>
    </row>
    <row r="157" spans="1:8" hidden="1" x14ac:dyDescent="0.3">
      <c r="A157" s="12" t="s">
        <v>55</v>
      </c>
      <c r="B157" s="12"/>
      <c r="C157" s="12" t="s">
        <v>11</v>
      </c>
      <c r="D157" s="99">
        <f>SUM(D145:D156)</f>
        <v>0</v>
      </c>
      <c r="E157" s="99">
        <f t="shared" ref="E157:H157" si="18">SUM(E145:E156)</f>
        <v>0</v>
      </c>
      <c r="F157" s="99">
        <f t="shared" si="18"/>
        <v>0</v>
      </c>
      <c r="G157" s="99">
        <f t="shared" si="18"/>
        <v>0</v>
      </c>
      <c r="H157" s="99">
        <f t="shared" si="18"/>
        <v>0</v>
      </c>
    </row>
    <row r="159" spans="1:8" ht="18.75" x14ac:dyDescent="0.3">
      <c r="A159" s="1" t="s">
        <v>69</v>
      </c>
    </row>
    <row r="160" spans="1:8" x14ac:dyDescent="0.3">
      <c r="A160" t="str">
        <f>Dist1</f>
        <v>ActewAGL</v>
      </c>
      <c r="B160" t="s">
        <v>37</v>
      </c>
      <c r="C160" t="s">
        <v>23</v>
      </c>
      <c r="D160" s="100">
        <f>'Input Global'!D25/'Input Global'!D$30</f>
        <v>1</v>
      </c>
      <c r="E160" s="100">
        <f>'Input Global'!E25/'Input Global'!E$30</f>
        <v>1</v>
      </c>
      <c r="F160" s="100">
        <f>'Input Global'!F25/'Input Global'!F$30</f>
        <v>1</v>
      </c>
      <c r="G160" s="100">
        <f>'Input Global'!G25/'Input Global'!G$30</f>
        <v>1</v>
      </c>
      <c r="H160" s="100">
        <f>'Input Global'!H25/'Input Global'!H$30</f>
        <v>1</v>
      </c>
    </row>
    <row r="161" spans="1:8" hidden="1" x14ac:dyDescent="0.3">
      <c r="A161" t="str">
        <f>Dist2</f>
        <v>blank</v>
      </c>
      <c r="B161" t="s">
        <v>37</v>
      </c>
      <c r="C161" t="s">
        <v>23</v>
      </c>
      <c r="D161" s="100">
        <f>'Input Global'!D26/'Input Global'!D$30</f>
        <v>0</v>
      </c>
      <c r="E161" s="100">
        <f>'Input Global'!E26/'Input Global'!E$30</f>
        <v>0</v>
      </c>
      <c r="F161" s="100">
        <f>'Input Global'!F26/'Input Global'!F$30</f>
        <v>0</v>
      </c>
      <c r="G161" s="100">
        <f>'Input Global'!G26/'Input Global'!G$30</f>
        <v>0</v>
      </c>
      <c r="H161" s="100">
        <f>'Input Global'!H26/'Input Global'!H$30</f>
        <v>0</v>
      </c>
    </row>
    <row r="162" spans="1:8" hidden="1" x14ac:dyDescent="0.3">
      <c r="A162" t="str">
        <f>Dist3</f>
        <v>blank</v>
      </c>
      <c r="B162" t="s">
        <v>37</v>
      </c>
      <c r="C162" t="s">
        <v>23</v>
      </c>
      <c r="D162" s="100">
        <f>'Input Global'!D27/'Input Global'!D$30</f>
        <v>0</v>
      </c>
      <c r="E162" s="100">
        <f>'Input Global'!E27/'Input Global'!E$30</f>
        <v>0</v>
      </c>
      <c r="F162" s="100">
        <f>'Input Global'!F27/'Input Global'!F$30</f>
        <v>0</v>
      </c>
      <c r="G162" s="100">
        <f>'Input Global'!G27/'Input Global'!G$30</f>
        <v>0</v>
      </c>
      <c r="H162" s="100">
        <f>'Input Global'!H27/'Input Global'!H$30</f>
        <v>0</v>
      </c>
    </row>
    <row r="163" spans="1:8" hidden="1" x14ac:dyDescent="0.3">
      <c r="A163" t="str">
        <f>Dist4</f>
        <v>blank</v>
      </c>
      <c r="B163" t="s">
        <v>37</v>
      </c>
      <c r="C163" t="s">
        <v>23</v>
      </c>
      <c r="D163" s="100">
        <f>'Input Global'!D28/'Input Global'!D$30</f>
        <v>0</v>
      </c>
      <c r="E163" s="100">
        <f>'Input Global'!E28/'Input Global'!E$30</f>
        <v>0</v>
      </c>
      <c r="F163" s="100">
        <f>'Input Global'!F28/'Input Global'!F$30</f>
        <v>0</v>
      </c>
      <c r="G163" s="100">
        <f>'Input Global'!G28/'Input Global'!G$30</f>
        <v>0</v>
      </c>
      <c r="H163" s="100">
        <f>'Input Global'!H28/'Input Global'!H$30</f>
        <v>0</v>
      </c>
    </row>
    <row r="164" spans="1:8" hidden="1" x14ac:dyDescent="0.3">
      <c r="A164" t="str">
        <f>Dist5</f>
        <v>blank</v>
      </c>
      <c r="B164" t="s">
        <v>37</v>
      </c>
      <c r="C164" t="s">
        <v>23</v>
      </c>
      <c r="D164" s="100">
        <f>'Input Global'!D29/'Input Global'!D$30</f>
        <v>0</v>
      </c>
      <c r="E164" s="100">
        <f>'Input Global'!E29/'Input Global'!E$30</f>
        <v>0</v>
      </c>
      <c r="F164" s="100">
        <f>'Input Global'!F29/'Input Global'!F$30</f>
        <v>0</v>
      </c>
      <c r="G164" s="100">
        <f>'Input Global'!G29/'Input Global'!G$30</f>
        <v>0</v>
      </c>
      <c r="H164" s="100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89"/>
  <sheetViews>
    <sheetView tabSelected="1" zoomScaleNormal="100" workbookViewId="0">
      <selection activeCell="F7" sqref="F7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89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1</v>
      </c>
      <c r="B1" s="23" t="str">
        <f ca="1">'Input Global'!B1</f>
        <v>2012 Pricing Trends - model - ACT</v>
      </c>
      <c r="C1" s="23"/>
      <c r="D1" s="23"/>
      <c r="E1" s="91"/>
      <c r="F1" s="91"/>
      <c r="G1" s="90"/>
      <c r="H1" s="90"/>
      <c r="I1" s="72" t="s">
        <v>31</v>
      </c>
    </row>
    <row r="2" spans="1:9" s="22" customFormat="1" ht="19.5" thickBot="1" x14ac:dyDescent="0.35">
      <c r="B2" s="24" t="str">
        <f ca="1">RIGHT(CELL("filename",B2),LEN(CELL("filename",B2))-SEARCH("]",CELL("filename",B2)))</f>
        <v>Output</v>
      </c>
      <c r="C2" s="25"/>
      <c r="D2" s="25"/>
      <c r="E2" s="92"/>
      <c r="F2" s="92"/>
      <c r="G2" s="90"/>
      <c r="H2" s="90"/>
      <c r="I2" s="78" t="s">
        <v>25</v>
      </c>
    </row>
    <row r="3" spans="1:9" s="22" customFormat="1" ht="17.25" thickBot="1" x14ac:dyDescent="0.35">
      <c r="E3" s="90"/>
      <c r="F3" s="90"/>
      <c r="G3" s="90"/>
      <c r="H3" s="90"/>
      <c r="I3" s="79" t="s">
        <v>32</v>
      </c>
    </row>
    <row r="4" spans="1:9" s="22" customFormat="1" ht="15.75" x14ac:dyDescent="0.3">
      <c r="B4" s="26"/>
      <c r="C4" s="27" t="s">
        <v>8</v>
      </c>
      <c r="D4" s="27"/>
      <c r="E4" s="93" t="str">
        <f>'Input Global'!E4</f>
        <v>2011/12</v>
      </c>
      <c r="F4" s="93" t="str">
        <f>'Input Global'!F4</f>
        <v>2012/13</v>
      </c>
      <c r="G4" s="93" t="str">
        <f>'Input Global'!G4</f>
        <v>2013/14</v>
      </c>
      <c r="H4" s="93" t="str">
        <f>'Input Global'!H4</f>
        <v>2014/15</v>
      </c>
    </row>
    <row r="6" spans="1:9" ht="18.75" x14ac:dyDescent="0.3">
      <c r="A6" s="16" t="s">
        <v>38</v>
      </c>
      <c r="C6" s="16" t="s">
        <v>11</v>
      </c>
    </row>
    <row r="8" spans="1:9" ht="17.25" thickBot="1" x14ac:dyDescent="0.35">
      <c r="A8" s="81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65</v>
      </c>
      <c r="D9"/>
      <c r="E9" s="77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5.9533839999999998</v>
      </c>
      <c r="F9" s="77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5.4239500000000005</v>
      </c>
      <c r="G9" s="77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4.9610397894784617</v>
      </c>
      <c r="H9" s="77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5.1594708915029406</v>
      </c>
    </row>
    <row r="10" spans="1:9" ht="17.25" thickBot="1" x14ac:dyDescent="0.35">
      <c r="A10" t="str">
        <f>'Calc (Jurisdiction)'!A9</f>
        <v>Transmission</v>
      </c>
      <c r="B10"/>
      <c r="C10" t="s">
        <v>65</v>
      </c>
      <c r="D10"/>
      <c r="E10" s="77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1.377</v>
      </c>
      <c r="F10" s="77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1.653</v>
      </c>
      <c r="G10" s="77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1.7681587277667981</v>
      </c>
      <c r="H10" s="77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1.8913401612691485</v>
      </c>
    </row>
    <row r="11" spans="1:9" ht="17.25" thickBot="1" x14ac:dyDescent="0.35">
      <c r="A11" t="str">
        <f>'Calc (Jurisdiction)'!A10</f>
        <v>Distribution</v>
      </c>
      <c r="B11"/>
      <c r="C11" t="s">
        <v>65</v>
      </c>
      <c r="D11"/>
      <c r="E11" s="77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5.8543412017953766</v>
      </c>
      <c r="F11" s="77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6.1015645288266089</v>
      </c>
      <c r="G11" s="77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6.5133271027211919</v>
      </c>
      <c r="H11" s="77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7.0049070260268023</v>
      </c>
    </row>
    <row r="12" spans="1:9" ht="17.25" thickBot="1" x14ac:dyDescent="0.35">
      <c r="A12" t="str">
        <f>'Calc (Jurisdiction)'!A11</f>
        <v>Retail</v>
      </c>
      <c r="B12"/>
      <c r="C12" t="s">
        <v>65</v>
      </c>
      <c r="D12"/>
      <c r="E12" s="77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1.0860000000000001</v>
      </c>
      <c r="F12" s="77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1.1131499999999999</v>
      </c>
      <c r="G12" s="77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1.1409787499999997</v>
      </c>
      <c r="H12" s="77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1.1695032187499996</v>
      </c>
    </row>
    <row r="13" spans="1:9" ht="17.25" thickBot="1" x14ac:dyDescent="0.35">
      <c r="A13" t="str">
        <f>'Calc (Jurisdiction)'!A12</f>
        <v>Retail and Residual</v>
      </c>
      <c r="B13"/>
      <c r="C13" t="s">
        <v>65</v>
      </c>
      <c r="D13"/>
      <c r="E13" s="77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0.86559191353800879</v>
      </c>
      <c r="F13" s="77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0.97658452849435995</v>
      </c>
      <c r="G13" s="77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0.99042853887427684</v>
      </c>
      <c r="H13" s="77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1.0363354868673826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2"/>
      <c r="F14" s="83"/>
      <c r="G14" s="82"/>
      <c r="H14" s="82"/>
    </row>
    <row r="15" spans="1:9" ht="17.25" thickBot="1" x14ac:dyDescent="0.35">
      <c r="A15" s="11" t="str">
        <f>'Calc (Jurisdiction)'!A14</f>
        <v>Feed-in Tariffs</v>
      </c>
      <c r="B15"/>
      <c r="C15" t="s">
        <v>65</v>
      </c>
      <c r="D15"/>
      <c r="E15" s="77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0.33175467853812057</v>
      </c>
      <c r="F15" s="77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0.4122341469948716</v>
      </c>
      <c r="G15" s="77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0.49288049723650695</v>
      </c>
      <c r="H15" s="77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0.53253396544042708</v>
      </c>
    </row>
    <row r="16" spans="1:9" ht="17.25" thickBot="1" x14ac:dyDescent="0.35">
      <c r="A16" s="11" t="str">
        <f>'Calc (Jurisdiction)'!A15</f>
        <v>Carbon costs</v>
      </c>
      <c r="B16"/>
      <c r="C16" t="s">
        <v>65</v>
      </c>
      <c r="D16"/>
      <c r="E16" s="77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77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2.1179999999999999</v>
      </c>
      <c r="G16" s="77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2.3756274961163113</v>
      </c>
      <c r="H16" s="77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2.2742035749762217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65</v>
      </c>
      <c r="D17"/>
      <c r="E17" s="77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0.49660295395308429</v>
      </c>
      <c r="F17" s="77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0.43499999999999994</v>
      </c>
      <c r="G17" s="77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0.46612709452899753</v>
      </c>
      <c r="H17" s="77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0.49360834598285647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65</v>
      </c>
      <c r="D18"/>
      <c r="E18" s="77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0.81739704604691588</v>
      </c>
      <c r="F18" s="77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0.71599999999999997</v>
      </c>
      <c r="G18" s="77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0.31512978056426327</v>
      </c>
      <c r="H18" s="77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0.27383072100313477</v>
      </c>
    </row>
    <row r="19" spans="1:13" ht="17.25" thickBot="1" x14ac:dyDescent="0.35">
      <c r="A19" s="11" t="str">
        <f>'Calc (Jurisdiction)'!A18</f>
        <v>Greenhouse gas abatement scheme</v>
      </c>
      <c r="B19"/>
      <c r="C19" t="s">
        <v>65</v>
      </c>
      <c r="D19"/>
      <c r="E19" s="77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0.11299999999999999</v>
      </c>
      <c r="F19" s="77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</v>
      </c>
      <c r="G19" s="77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</v>
      </c>
      <c r="H19" s="77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</v>
      </c>
    </row>
    <row r="20" spans="1:13" ht="17.25" thickBot="1" x14ac:dyDescent="0.35">
      <c r="A20" s="11" t="str">
        <f>'Calc (Jurisdiction)'!A19</f>
        <v>Energy Savings</v>
      </c>
      <c r="B20"/>
      <c r="C20" t="s">
        <v>65</v>
      </c>
      <c r="D20"/>
      <c r="E20" s="77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77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0.11200000000000002</v>
      </c>
      <c r="G20" s="77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0.308</v>
      </c>
      <c r="H20" s="77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0.39200000000000007</v>
      </c>
      <c r="J20" s="28"/>
      <c r="K20" s="28"/>
      <c r="L20" s="28"/>
      <c r="M20" s="28"/>
    </row>
    <row r="21" spans="1:13" ht="17.25" thickBot="1" x14ac:dyDescent="0.35">
      <c r="A21" t="s">
        <v>55</v>
      </c>
      <c r="B21"/>
      <c r="C21" t="s">
        <v>65</v>
      </c>
      <c r="D21"/>
      <c r="E21" s="77">
        <f ca="1">SUM(E9:E20)</f>
        <v>16.895071793871505</v>
      </c>
      <c r="F21" s="77">
        <f ca="1">SUM(F9:F20)</f>
        <v>19.061483204315838</v>
      </c>
      <c r="G21" s="77">
        <f ca="1">SUM(G9:G20)</f>
        <v>19.331697777286806</v>
      </c>
      <c r="H21" s="77">
        <f ca="1">SUM(H9:H20)</f>
        <v>20.227733391818912</v>
      </c>
    </row>
    <row r="22" spans="1:13" x14ac:dyDescent="0.3">
      <c r="A22"/>
      <c r="B22"/>
      <c r="C22"/>
      <c r="D22"/>
      <c r="E22" s="82"/>
      <c r="F22" s="82"/>
      <c r="G22" s="82"/>
      <c r="H22" s="82"/>
    </row>
    <row r="23" spans="1:13" x14ac:dyDescent="0.3">
      <c r="A23"/>
      <c r="B23"/>
      <c r="C23"/>
      <c r="D23"/>
      <c r="E23" s="82"/>
      <c r="F23" s="82"/>
      <c r="G23" s="82"/>
      <c r="H23" s="82"/>
    </row>
    <row r="24" spans="1:13" x14ac:dyDescent="0.3">
      <c r="A24"/>
      <c r="B24"/>
      <c r="C24"/>
      <c r="D24"/>
      <c r="E24" s="82"/>
      <c r="F24" s="82"/>
      <c r="G24" s="82"/>
      <c r="H24" s="82"/>
    </row>
    <row r="25" spans="1:13" ht="17.25" thickBot="1" x14ac:dyDescent="0.35">
      <c r="A25" s="84" t="str">
        <f ca="1">'Calc (Market Planning Case)'!B2</f>
        <v>Calc (Market Planning Case)</v>
      </c>
      <c r="B25"/>
      <c r="C25"/>
      <c r="D25"/>
      <c r="E25" s="82"/>
      <c r="F25" s="82"/>
      <c r="G25" s="82"/>
      <c r="H25" s="82"/>
    </row>
    <row r="26" spans="1:13" ht="17.25" thickBot="1" x14ac:dyDescent="0.35">
      <c r="A26" t="s">
        <v>1</v>
      </c>
      <c r="B26"/>
      <c r="C26" t="s">
        <v>65</v>
      </c>
      <c r="D26"/>
      <c r="E26" s="77">
        <f ca="1">IF(LEFT(A25,5)="blank",0,'Calc (Market Planning Case)'!$E$85*'Calc (Market Planning Case)'!$E$160+'Calc (Market Planning Case)'!$E$100*'Calc (Market Planning Case)'!$E$161+'Calc (Market Planning Case)'!$E$115*'Calc (Market Planning Case)'!$E$162+'Calc (Market Planning Case)'!$E$130*'Calc (Market Planning Case)'!$E$163+'Calc (Market Planning Case)'!$E$145*'Calc (Market Planning Case)'!$E$164)</f>
        <v>5.9533839999999998</v>
      </c>
      <c r="F26" s="77">
        <f ca="1">IF(LEFT(A25,5)="blank",0,'Calc (Market Planning Case)'!$F$85*'Calc (Market Planning Case)'!$F$160+'Calc (Market Planning Case)'!$F$100*'Calc (Market Planning Case)'!$F$161+'Calc (Market Planning Case)'!$F$115*'Calc (Market Planning Case)'!$F$162+'Calc (Market Planning Case)'!$F$130*'Calc (Market Planning Case)'!$F$163+'Calc (Market Planning Case)'!$F$145*'Calc (Market Planning Case)'!$F$164)</f>
        <v>5.4239500000000005</v>
      </c>
      <c r="G26" s="77">
        <f ca="1">IF(LEFT(A25,5)="blank",0,'Calc (Market Planning Case)'!$G$85*'Calc (Market Planning Case)'!$G$160+'Calc (Market Planning Case)'!$G$100*'Calc (Market Planning Case)'!$G$161+'Calc (Market Planning Case)'!$G$115*'Calc (Market Planning Case)'!$G$162+'Calc (Market Planning Case)'!$G$130*'Calc (Market Planning Case)'!$G$163+'Calc (Market Planning Case)'!$G$145*'Calc (Market Planning Case)'!$G$164)</f>
        <v>4.9610397894784617</v>
      </c>
      <c r="H26" s="77">
        <f ca="1">IF(LEFT(A25,5)="blank",0,'Calc (Market Planning Case)'!$H$85*'Calc (Market Planning Case)'!$H$160+'Calc (Market Planning Case)'!$H$100*'Calc (Market Planning Case)'!$H$161+'Calc (Market Planning Case)'!$H$115*'Calc (Market Planning Case)'!$H$162+'Calc (Market Planning Case)'!$H$130*'Calc (Market Planning Case)'!$H$163+'Calc (Market Planning Case)'!$H$145*'Calc (Market Planning Case)'!$H$164)</f>
        <v>5.1594708915029406</v>
      </c>
    </row>
    <row r="27" spans="1:13" ht="17.25" thickBot="1" x14ac:dyDescent="0.35">
      <c r="A27" t="s">
        <v>40</v>
      </c>
      <c r="B27"/>
      <c r="C27" t="s">
        <v>65</v>
      </c>
      <c r="D27"/>
      <c r="E27" s="77">
        <f ca="1">IF(LEFT(A25,5)="blank",0,'Calc (Market Planning Case)'!$E$86*'Calc (Market Planning Case)'!$E$160+'Calc (Market Planning Case)'!$E$101*'Calc (Market Planning Case)'!$E$161+'Calc (Market Planning Case)'!$E$116*'Calc (Market Planning Case)'!$E$162+'Calc (Market Planning Case)'!$E$131*'Calc (Market Planning Case)'!$E$163+'Calc (Market Planning Case)'!$E$146*'Calc (Market Planning Case)'!$E$164)</f>
        <v>1.377</v>
      </c>
      <c r="F27" s="77">
        <f ca="1">IF(LEFT(A25,5)="blank",0,'Calc (Market Planning Case)'!$F$86*'Calc (Market Planning Case)'!$F$160+'Calc (Market Planning Case)'!$F$101*'Calc (Market Planning Case)'!$F$161+'Calc (Market Planning Case)'!$F$116*'Calc (Market Planning Case)'!$F$162+'Calc (Market Planning Case)'!$F$131*'Calc (Market Planning Case)'!$F$163+'Calc (Market Planning Case)'!$F$146*'Calc (Market Planning Case)'!$F$164)</f>
        <v>1.653</v>
      </c>
      <c r="G27" s="77">
        <f ca="1">IF(LEFT(A25,5)="blank",0,'Calc (Market Planning Case)'!$G$86*'Calc (Market Planning Case)'!$G$160+'Calc (Market Planning Case)'!$G$101*'Calc (Market Planning Case)'!$G$161+'Calc (Market Planning Case)'!$G$116*'Calc (Market Planning Case)'!$G$162+'Calc (Market Planning Case)'!$G$131*'Calc (Market Planning Case)'!$G$163+'Calc (Market Planning Case)'!$G$146*'Calc (Market Planning Case)'!$G$164)</f>
        <v>1.7681587277667981</v>
      </c>
      <c r="H27" s="77">
        <f ca="1">IF(LEFT(A25,5)="blank",0,'Calc (Market Planning Case)'!$H$86*'Calc (Market Planning Case)'!$H$160+'Calc (Market Planning Case)'!$H$101*'Calc (Market Planning Case)'!$H$161+'Calc (Market Planning Case)'!$H$116*'Calc (Market Planning Case)'!$H$162+'Calc (Market Planning Case)'!$H$131*'Calc (Market Planning Case)'!$H$163+'Calc (Market Planning Case)'!$H$146*'Calc (Market Planning Case)'!$H$164)</f>
        <v>1.8913401612691485</v>
      </c>
    </row>
    <row r="28" spans="1:13" ht="17.25" thickBot="1" x14ac:dyDescent="0.35">
      <c r="A28" t="s">
        <v>39</v>
      </c>
      <c r="B28"/>
      <c r="C28" t="s">
        <v>65</v>
      </c>
      <c r="D28"/>
      <c r="E28" s="77">
        <f ca="1">IF(LEFT(A25,5)="blank",0,'Calc (Market Planning Case)'!$E$87*'Calc (Market Planning Case)'!$E$160+'Calc (Market Planning Case)'!$E$102*'Calc (Market Planning Case)'!$E$161+'Calc (Market Planning Case)'!$E$117*'Calc (Market Planning Case)'!$E$162+'Calc (Market Planning Case)'!$E$132*'Calc (Market Planning Case)'!$E$163+'Calc (Market Planning Case)'!$E$147*'Calc (Market Planning Case)'!$E$164)</f>
        <v>5.8543412017953766</v>
      </c>
      <c r="F28" s="77">
        <f ca="1">IF(LEFT(A25,5)="blank",0,'Calc (Market Planning Case)'!$F$87*'Calc (Market Planning Case)'!$F$160+'Calc (Market Planning Case)'!$F$102*'Calc (Market Planning Case)'!$F$161+'Calc (Market Planning Case)'!$F$117*'Calc (Market Planning Case)'!$F$162+'Calc (Market Planning Case)'!$F$132*'Calc (Market Planning Case)'!$F$163+'Calc (Market Planning Case)'!$F$147*'Calc (Market Planning Case)'!$F$164)</f>
        <v>6.1015645288266089</v>
      </c>
      <c r="G28" s="77">
        <f ca="1">IF(LEFT(A25,5)="blank",0,'Calc (Market Planning Case)'!$G$87*'Calc (Market Planning Case)'!$G$160+'Calc (Market Planning Case)'!$G$102*'Calc (Market Planning Case)'!$G$161+'Calc (Market Planning Case)'!$G$117*'Calc (Market Planning Case)'!$G$162+'Calc (Market Planning Case)'!$G$132*'Calc (Market Planning Case)'!$G$163+'Calc (Market Planning Case)'!$G$147*'Calc (Market Planning Case)'!$G$164)</f>
        <v>6.5133271027211919</v>
      </c>
      <c r="H28" s="77">
        <f ca="1">IF(LEFT(A25,5)="blank",0,'Calc (Market Planning Case)'!$H$87*'Calc (Market Planning Case)'!$H$160+'Calc (Market Planning Case)'!$H$102*'Calc (Market Planning Case)'!$H$161+'Calc (Market Planning Case)'!$H$117*'Calc (Market Planning Case)'!$H$162+'Calc (Market Planning Case)'!$H$132*'Calc (Market Planning Case)'!$H$163+'Calc (Market Planning Case)'!$H$147*'Calc (Market Planning Case)'!$H$164)</f>
        <v>7.0049070260268023</v>
      </c>
    </row>
    <row r="29" spans="1:13" ht="17.25" thickBot="1" x14ac:dyDescent="0.35">
      <c r="A29" t="s">
        <v>15</v>
      </c>
      <c r="B29"/>
      <c r="C29" t="s">
        <v>65</v>
      </c>
      <c r="D29"/>
      <c r="E29" s="77">
        <f ca="1">IF(LEFT(A25,5)="blank",0,'Calc (Market Planning Case)'!$E$88*'Calc (Market Planning Case)'!$E$160+'Calc (Market Planning Case)'!$E$103*'Calc (Market Planning Case)'!$E$161+'Calc (Market Planning Case)'!$E$118*'Calc (Market Planning Case)'!$E$162+'Calc (Market Planning Case)'!$E$133*'Calc (Market Planning Case)'!$E$163+'Calc (Market Planning Case)'!$E$148*'Calc (Market Planning Case)'!$E$164)</f>
        <v>1.0860000000000001</v>
      </c>
      <c r="F29" s="77">
        <f ca="1">IF(LEFT(A25,5)="blank",0,'Calc (Market Planning Case)'!$F$88*'Calc (Market Planning Case)'!$F$160+'Calc (Market Planning Case)'!$F$103*'Calc (Market Planning Case)'!$F$161+'Calc (Market Planning Case)'!$F$118*'Calc (Market Planning Case)'!$F$162+'Calc (Market Planning Case)'!$F$133*'Calc (Market Planning Case)'!$F$163+'Calc (Market Planning Case)'!$F$148*'Calc (Market Planning Case)'!$F$164)</f>
        <v>1.1131499999999999</v>
      </c>
      <c r="G29" s="77">
        <f ca="1">IF(LEFT(A25,5)="blank",0,'Calc (Market Planning Case)'!$G$88*'Calc (Market Planning Case)'!$G$160+'Calc (Market Planning Case)'!$G$103*'Calc (Market Planning Case)'!$G$161+'Calc (Market Planning Case)'!$G$118*'Calc (Market Planning Case)'!$G$162+'Calc (Market Planning Case)'!$G$133*'Calc (Market Planning Case)'!$G$163+'Calc (Market Planning Case)'!$G$148*'Calc (Market Planning Case)'!$G$164)</f>
        <v>1.1409787499999997</v>
      </c>
      <c r="H29" s="77">
        <f ca="1">IF(LEFT(A25,5)="blank",0,'Calc (Market Planning Case)'!$H$88*'Calc (Market Planning Case)'!$H$160+'Calc (Market Planning Case)'!$H$103*'Calc (Market Planning Case)'!$H$161+'Calc (Market Planning Case)'!$H$118*'Calc (Market Planning Case)'!$H$162+'Calc (Market Planning Case)'!$H$133*'Calc (Market Planning Case)'!$H$163+'Calc (Market Planning Case)'!$H$148*'Calc (Market Planning Case)'!$H$164)</f>
        <v>1.1695032187499996</v>
      </c>
    </row>
    <row r="30" spans="1:13" ht="17.25" thickBot="1" x14ac:dyDescent="0.35">
      <c r="A30" t="s">
        <v>109</v>
      </c>
      <c r="B30"/>
      <c r="C30" t="s">
        <v>65</v>
      </c>
      <c r="D30"/>
      <c r="E30" s="77">
        <f ca="1">IF(LEFT(A25,5)="blank",0,'Calc (Market Planning Case)'!$E$89*'Calc (Market Planning Case)'!$E$160+'Calc (Market Planning Case)'!$E$104*'Calc (Market Planning Case)'!$E$161+'Calc (Market Planning Case)'!$E$119*'Calc (Market Planning Case)'!$E$162+'Calc (Market Planning Case)'!$E$134*'Calc (Market Planning Case)'!$E$163+'Calc (Market Planning Case)'!$E$149*'Calc (Market Planning Case)'!$E$164)</f>
        <v>0.86559191353800879</v>
      </c>
      <c r="F30" s="77">
        <f ca="1">IF(LEFT(A25,5)="blank",0,'Calc (Market Planning Case)'!$F$89*'Calc (Market Planning Case)'!$F$160+'Calc (Market Planning Case)'!$F$104*'Calc (Market Planning Case)'!$F$161+'Calc (Market Planning Case)'!$F$119*'Calc (Market Planning Case)'!$F$162+'Calc (Market Planning Case)'!$F$134*'Calc (Market Planning Case)'!$F$163+'Calc (Market Planning Case)'!$F$149*'Calc (Market Planning Case)'!$F$164)</f>
        <v>0.97658452849435995</v>
      </c>
      <c r="G30" s="77">
        <f ca="1">IF(LEFT(A25,5)="blank",0,'Calc (Market Planning Case)'!$G$89*'Calc (Market Planning Case)'!$G$160+'Calc (Market Planning Case)'!$G$104*'Calc (Market Planning Case)'!$G$161+'Calc (Market Planning Case)'!$G$119*'Calc (Market Planning Case)'!$G$162+'Calc (Market Planning Case)'!$G$134*'Calc (Market Planning Case)'!$G$163+'Calc (Market Planning Case)'!$G$149*'Calc (Market Planning Case)'!$G$164)</f>
        <v>0.99042853887427684</v>
      </c>
      <c r="H30" s="77">
        <f ca="1">IF(LEFT(A25,5)="blank",0,'Calc (Market Planning Case)'!$H$89*'Calc (Market Planning Case)'!$H$160+'Calc (Market Planning Case)'!$H$104*'Calc (Market Planning Case)'!$H$161+'Calc (Market Planning Case)'!$H$119*'Calc (Market Planning Case)'!$H$162+'Calc (Market Planning Case)'!$H$134*'Calc (Market Planning Case)'!$H$163+'Calc (Market Planning Case)'!$H$149*'Calc (Market Planning Case)'!$H$164)</f>
        <v>1.0363354868673826</v>
      </c>
    </row>
    <row r="31" spans="1:13" ht="17.25" thickBot="1" x14ac:dyDescent="0.35">
      <c r="A31" t="s">
        <v>41</v>
      </c>
      <c r="B31"/>
      <c r="C31"/>
      <c r="D31"/>
      <c r="E31" s="82"/>
      <c r="F31" s="83"/>
      <c r="G31" s="82"/>
      <c r="H31" s="82"/>
    </row>
    <row r="32" spans="1:13" ht="17.25" thickBot="1" x14ac:dyDescent="0.35">
      <c r="A32" s="11" t="s">
        <v>62</v>
      </c>
      <c r="B32"/>
      <c r="C32" t="s">
        <v>65</v>
      </c>
      <c r="D32"/>
      <c r="E32" s="77">
        <f ca="1">IF(LEFT(A25,5)="blank",0,'Calc (Market Planning Case)'!E$91*'Calc (Market Planning Case)'!E$160+'Calc (Market Planning Case)'!E$106*'Calc (Market Planning Case)'!E$161+'Calc (Market Planning Case)'!E$121*'Calc (Market Planning Case)'!E$162+'Calc (Market Planning Case)'!E$136*'Calc (Market Planning Case)'!E$163+'Calc (Market Planning Case)'!E$151*'Calc (Market Planning Case)'!E$164)</f>
        <v>0.33175467853812057</v>
      </c>
      <c r="F32" s="77">
        <f ca="1">IF(LEFT(A25,5)="blank",0,'Calc (Market Planning Case)'!F$91*'Calc (Market Planning Case)'!F$160+'Calc (Market Planning Case)'!F$106*'Calc (Market Planning Case)'!F$161+'Calc (Market Planning Case)'!F$121*'Calc (Market Planning Case)'!F$162+'Calc (Market Planning Case)'!F$136*'Calc (Market Planning Case)'!F$163+'Calc (Market Planning Case)'!F$151*'Calc (Market Planning Case)'!F$164)</f>
        <v>0.4122341469948716</v>
      </c>
      <c r="G32" s="77">
        <f ca="1">IF(LEFT(A25,5)="blank",0,'Calc (Market Planning Case)'!G$91*'Calc (Market Planning Case)'!G$160+'Calc (Market Planning Case)'!G$106*'Calc (Market Planning Case)'!G$161+'Calc (Market Planning Case)'!G$121*'Calc (Market Planning Case)'!G$162+'Calc (Market Planning Case)'!G$136*'Calc (Market Planning Case)'!G$163+'Calc (Market Planning Case)'!G$151*'Calc (Market Planning Case)'!G$164)</f>
        <v>0.49288049723650695</v>
      </c>
      <c r="H32" s="77">
        <f ca="1">IF(LEFT(A25,5)="blank",0,'Calc (Market Planning Case)'!H$91*'Calc (Market Planning Case)'!H$160+'Calc (Market Planning Case)'!H$106*'Calc (Market Planning Case)'!H$161+'Calc (Market Planning Case)'!H$121*'Calc (Market Planning Case)'!H$162+'Calc (Market Planning Case)'!H$136*'Calc (Market Planning Case)'!H$163+'Calc (Market Planning Case)'!H$151*'Calc (Market Planning Case)'!H$164)</f>
        <v>0.53253396544042708</v>
      </c>
    </row>
    <row r="33" spans="1:13" ht="17.25" thickBot="1" x14ac:dyDescent="0.35">
      <c r="A33" s="11" t="s">
        <v>94</v>
      </c>
      <c r="B33"/>
      <c r="C33" t="s">
        <v>65</v>
      </c>
      <c r="D33"/>
      <c r="E33" s="77">
        <f ca="1">IF(LEFT(A25,5)="blank",0,'Calc (Market Planning Case)'!E$92*'Calc (Market Planning Case)'!E$160+'Calc (Market Planning Case)'!E$107*'Calc (Market Planning Case)'!E$161+'Calc (Market Planning Case)'!E$122*'Calc (Market Planning Case)'!E$162+'Calc (Market Planning Case)'!E$137*'Calc (Market Planning Case)'!E$163+'Calc (Market Planning Case)'!E$152*'Calc (Market Planning Case)'!E$164)</f>
        <v>0</v>
      </c>
      <c r="F33" s="77">
        <f ca="1">IF(LEFT(A25,5)="blank",0,'Calc (Market Planning Case)'!F$92*'Calc (Market Planning Case)'!F$160+'Calc (Market Planning Case)'!F$107*'Calc (Market Planning Case)'!F$161+'Calc (Market Planning Case)'!F$122*'Calc (Market Planning Case)'!F$162+'Calc (Market Planning Case)'!F$137*'Calc (Market Planning Case)'!F$163+'Calc (Market Planning Case)'!F$152*'Calc (Market Planning Case)'!F$164)</f>
        <v>2.1179999999999999</v>
      </c>
      <c r="G33" s="77">
        <f ca="1">IF(LEFT(A25,5)="blank",0,'Calc (Market Planning Case)'!G$92*'Calc (Market Planning Case)'!G$160+'Calc (Market Planning Case)'!G$107*'Calc (Market Planning Case)'!G$161+'Calc (Market Planning Case)'!G$122*'Calc (Market Planning Case)'!G$162+'Calc (Market Planning Case)'!G$137*'Calc (Market Planning Case)'!G$163+'Calc (Market Planning Case)'!G$152*'Calc (Market Planning Case)'!G$164)</f>
        <v>2.3756274961163113</v>
      </c>
      <c r="H33" s="77">
        <f ca="1">IF(LEFT(A25,5)="blank",0,'Calc (Market Planning Case)'!H$92*'Calc (Market Planning Case)'!H$160+'Calc (Market Planning Case)'!H$107*'Calc (Market Planning Case)'!H$161+'Calc (Market Planning Case)'!H$122*'Calc (Market Planning Case)'!H$162+'Calc (Market Planning Case)'!H$137*'Calc (Market Planning Case)'!H$163+'Calc (Market Planning Case)'!H$152*'Calc (Market Planning Case)'!H$164)</f>
        <v>2.2742035749762217</v>
      </c>
    </row>
    <row r="34" spans="1:13" ht="17.25" thickBot="1" x14ac:dyDescent="0.35">
      <c r="A34" s="11" t="s">
        <v>91</v>
      </c>
      <c r="B34"/>
      <c r="C34" t="s">
        <v>65</v>
      </c>
      <c r="D34"/>
      <c r="E34" s="77">
        <f ca="1">IF(LEFT(A25,5)="blank",0,'Calc (Market Planning Case)'!$E$93*'Calc (Market Planning Case)'!$E$160+'Calc (Market Planning Case)'!$E$108*'Calc (Market Planning Case)'!$E$161+'Calc (Market Planning Case)'!$E$123*'Calc (Market Planning Case)'!$E$162+'Calc (Market Planning Case)'!$E$138*'Calc (Market Planning Case)'!$E$163+'Calc (Market Planning Case)'!$E$153*'Calc (Market Planning Case)'!$E$164)</f>
        <v>0.49660295395308429</v>
      </c>
      <c r="F34" s="77">
        <f ca="1">IF(LEFT(A25,5)="blank",0,'Calc (Market Planning Case)'!$F$93*'Calc (Market Planning Case)'!$F$160+'Calc (Market Planning Case)'!$F$108*'Calc (Market Planning Case)'!$F$161+'Calc (Market Planning Case)'!$F$123*'Calc (Market Planning Case)'!$F$162+'Calc (Market Planning Case)'!$F$138*'Calc (Market Planning Case)'!$F$163+'Calc (Market Planning Case)'!$F$153*'Calc (Market Planning Case)'!$F$164)</f>
        <v>0.43499999999999994</v>
      </c>
      <c r="G34" s="77">
        <f ca="1">IF(LEFT(A25,5)="blank",0,'Calc (Market Planning Case)'!$G$93*'Calc (Market Planning Case)'!$G$160+'Calc (Market Planning Case)'!$G$108*'Calc (Market Planning Case)'!$G$161+'Calc (Market Planning Case)'!$G$123*'Calc (Market Planning Case)'!$G$162+'Calc (Market Planning Case)'!$G$138*'Calc (Market Planning Case)'!$G$163+'Calc (Market Planning Case)'!$G$153*'Calc (Market Planning Case)'!$G$164)</f>
        <v>0.46612709452899753</v>
      </c>
      <c r="H34" s="77">
        <f ca="1">IF(LEFT(A25,5)="blank",0,'Calc (Market Planning Case)'!$H$93*'Calc (Market Planning Case)'!$H$160+'Calc (Market Planning Case)'!$H$108*'Calc (Market Planning Case)'!$H$161+'Calc (Market Planning Case)'!$H$123*'Calc (Market Planning Case)'!$H$162+'Calc (Market Planning Case)'!$H$138*'Calc (Market Planning Case)'!$H$163+'Calc (Market Planning Case)'!$H$153*'Calc (Market Planning Case)'!$H$164)</f>
        <v>0.49360834598285647</v>
      </c>
    </row>
    <row r="35" spans="1:13" ht="17.25" thickBot="1" x14ac:dyDescent="0.35">
      <c r="A35" s="11" t="s">
        <v>92</v>
      </c>
      <c r="B35"/>
      <c r="C35" t="s">
        <v>65</v>
      </c>
      <c r="D35"/>
      <c r="E35" s="77">
        <f ca="1">IF(LEFT(A25,5)="blank",0,'Calc (Market Planning Case)'!$E$94*'Calc (Market Planning Case)'!$E$160+'Calc (Market Planning Case)'!$E$109*'Calc (Market Planning Case)'!$E$161+'Calc (Market Planning Case)'!$E$124*'Calc (Market Planning Case)'!$E$162+'Calc (Market Planning Case)'!$E$139*'Calc (Market Planning Case)'!$E$163+'Calc (Market Planning Case)'!$E$154*'Calc (Market Planning Case)'!$E$164)</f>
        <v>0.81739704604691588</v>
      </c>
      <c r="F35" s="77">
        <f ca="1">IF(LEFT(A25,5)="blank",0,'Calc (Market Planning Case)'!$F$94*'Calc (Market Planning Case)'!$F$160+'Calc (Market Planning Case)'!$F$109*'Calc (Market Planning Case)'!$F$161+'Calc (Market Planning Case)'!$F$124*'Calc (Market Planning Case)'!$F$162+'Calc (Market Planning Case)'!$F$139*'Calc (Market Planning Case)'!$F$163+'Calc (Market Planning Case)'!$F$154*'Calc (Market Planning Case)'!$F$164)</f>
        <v>0.71599999999999997</v>
      </c>
      <c r="G35" s="77">
        <f ca="1">IF(LEFT(A25,5)="blank",0,'Calc (Market Planning Case)'!$G$94*'Calc (Market Planning Case)'!$G$160+'Calc (Market Planning Case)'!$G$109*'Calc (Market Planning Case)'!$G$161+'Calc (Market Planning Case)'!$G$124*'Calc (Market Planning Case)'!$G$162+'Calc (Market Planning Case)'!$G$139*'Calc (Market Planning Case)'!$G$163+'Calc (Market Planning Case)'!$G$154*'Calc (Market Planning Case)'!$G$164)</f>
        <v>0.31512978056426327</v>
      </c>
      <c r="H35" s="77">
        <f ca="1">IF(LEFT(A25,5)="blank",0,'Calc (Market Planning Case)'!$H$94*'Calc (Market Planning Case)'!$H$160+'Calc (Market Planning Case)'!$H$109*'Calc (Market Planning Case)'!$H$161+'Calc (Market Planning Case)'!$H$124*'Calc (Market Planning Case)'!$H$162+'Calc (Market Planning Case)'!$H$139*'Calc (Market Planning Case)'!$H$163+'Calc (Market Planning Case)'!$H$154*'Calc (Market Planning Case)'!$H$164)</f>
        <v>0.27383072100313477</v>
      </c>
    </row>
    <row r="36" spans="1:13" ht="17.25" thickBot="1" x14ac:dyDescent="0.35">
      <c r="A36" s="11" t="s">
        <v>133</v>
      </c>
      <c r="B36"/>
      <c r="C36" t="s">
        <v>65</v>
      </c>
      <c r="D36"/>
      <c r="E36" s="77">
        <f ca="1">IF(LEFT(A25,5)="blank",0,'Calc (Market Planning Case)'!$E$95*'Calc (Market Planning Case)'!$E$160+'Calc (Market Planning Case)'!$E$110*'Calc (Market Planning Case)'!$E$161+'Calc (Market Planning Case)'!$E$125*'Calc (Market Planning Case)'!$E$162+'Calc (Market Planning Case)'!$E$140*'Calc (Market Planning Case)'!$E$163+'Calc (Market Planning Case)'!$E$155*'Calc (Market Planning Case)'!$E$164)</f>
        <v>0.11299999999999999</v>
      </c>
      <c r="F36" s="77">
        <f ca="1">IF(LEFT(A25,5)="blank",0,'Calc (Market Planning Case)'!$F$95*'Calc (Market Planning Case)'!$F$160+'Calc (Market Planning Case)'!$F$110*'Calc (Market Planning Case)'!$F$161+'Calc (Market Planning Case)'!$F$125*'Calc (Market Planning Case)'!$F$162+'Calc (Market Planning Case)'!$F$140*'Calc (Market Planning Case)'!$F$163+'Calc (Market Planning Case)'!$F$155*'Calc (Market Planning Case)'!$F$164)</f>
        <v>0</v>
      </c>
      <c r="G36" s="77">
        <f ca="1">IF(LEFT(A25,5)="blank",0,'Calc (Market Planning Case)'!$G$95*'Calc (Market Planning Case)'!$G$160+'Calc (Market Planning Case)'!$G$110*'Calc (Market Planning Case)'!$G$161+'Calc (Market Planning Case)'!$G$125*'Calc (Market Planning Case)'!$G$162+'Calc (Market Planning Case)'!$G$140*'Calc (Market Planning Case)'!$G$163+'Calc (Market Planning Case)'!$G$155*'Calc (Market Planning Case)'!$G$164)</f>
        <v>0</v>
      </c>
      <c r="H36" s="77">
        <f ca="1">IF(LEFT(A25,5)="blank",0,'Calc (Market Planning Case)'!$H$95*'Calc (Market Planning Case)'!$H$160+'Calc (Market Planning Case)'!$H$110*'Calc (Market Planning Case)'!$H$161+'Calc (Market Planning Case)'!$H$125*'Calc (Market Planning Case)'!$H$162+'Calc (Market Planning Case)'!$H$140*'Calc (Market Planning Case)'!$H$163+'Calc (Market Planning Case)'!$H$155*'Calc (Market Planning Case)'!$H$164)</f>
        <v>0</v>
      </c>
    </row>
    <row r="37" spans="1:13" ht="17.25" thickBot="1" x14ac:dyDescent="0.35">
      <c r="A37" s="11" t="s">
        <v>134</v>
      </c>
      <c r="B37"/>
      <c r="C37" t="s">
        <v>65</v>
      </c>
      <c r="D37"/>
      <c r="E37" s="77">
        <f ca="1">IF(LEFT(A25,5)="blank",0,'Calc (Market Planning Case)'!$E$96*'Calc (Market Planning Case)'!$E$160+'Calc (Market Planning Case)'!$E$111*'Calc (Market Planning Case)'!$E$161+'Calc (Market Planning Case)'!$E$126*'Calc (Market Planning Case)'!$E$162+'Calc (Market Planning Case)'!$E$141*'Calc (Market Planning Case)'!$E$163+'Calc (Market Planning Case)'!$E$156*'Calc (Market Planning Case)'!$E$164)</f>
        <v>0</v>
      </c>
      <c r="F37" s="77">
        <f ca="1">IF(LEFT(A25,5)="blank",0,'Calc (Market Planning Case)'!$F$96*'Calc (Market Planning Case)'!$F$160+'Calc (Market Planning Case)'!$F$111*'Calc (Market Planning Case)'!$F$161+'Calc (Market Planning Case)'!$F$126*'Calc (Market Planning Case)'!$F$162+'Calc (Market Planning Case)'!$F$141*'Calc (Market Planning Case)'!$F$163+'Calc (Market Planning Case)'!$F$156*'Calc (Market Planning Case)'!$G$18)</f>
        <v>0.11200000000000002</v>
      </c>
      <c r="G37" s="77">
        <f ca="1">IF(LEFT(A25,5)="blank",0,'Calc (Market Planning Case)'!$G$96*'Calc (Market Planning Case)'!$G$160+'Calc (Market Planning Case)'!$G$111*'Calc (Market Planning Case)'!$G$161+'Calc (Market Planning Case)'!$G$126*'Calc (Market Planning Case)'!$G$162+'Calc (Market Planning Case)'!$G$141*'Calc (Market Planning Case)'!$G$163+'Calc (Market Planning Case)'!$G$156*'Calc (Market Planning Case)'!$G$164)</f>
        <v>0.308</v>
      </c>
      <c r="H37" s="77">
        <f ca="1">IF(LEFT(A25,5)="blank",0,'Calc (Market Planning Case)'!$H$96*'Calc (Market Planning Case)'!$H$160+'Calc (Market Planning Case)'!$H$111*'Calc (Market Planning Case)'!$H$161+'Calc (Market Planning Case)'!$H$126*'Calc (Market Planning Case)'!$H$162+'Calc (Market Planning Case)'!$H$141*'Calc (Market Planning Case)'!$H$163+'Calc (Market Planning Case)'!$H$156*'Calc (Market Planning Case)'!$H$164)</f>
        <v>0.39200000000000007</v>
      </c>
      <c r="J37" s="28"/>
      <c r="K37" s="28"/>
      <c r="L37" s="28"/>
      <c r="M37" s="28"/>
    </row>
    <row r="38" spans="1:13" ht="17.25" thickBot="1" x14ac:dyDescent="0.35">
      <c r="A38" t="s">
        <v>55</v>
      </c>
      <c r="B38"/>
      <c r="C38" t="s">
        <v>65</v>
      </c>
      <c r="D38"/>
      <c r="E38" s="77">
        <f ca="1">SUM(E26:E37)</f>
        <v>16.895071793871505</v>
      </c>
      <c r="F38" s="77">
        <f ca="1">SUM(F26:F37)</f>
        <v>19.061483204315838</v>
      </c>
      <c r="G38" s="77">
        <f ca="1">SUM(G26:G37)</f>
        <v>19.331697777286806</v>
      </c>
      <c r="H38" s="77">
        <f ca="1">SUM(H26:H37)</f>
        <v>20.227733391818912</v>
      </c>
      <c r="J38" s="28"/>
      <c r="K38" s="28"/>
      <c r="L38" s="28"/>
      <c r="M38" s="28"/>
    </row>
    <row r="39" spans="1:13" x14ac:dyDescent="0.3">
      <c r="A39"/>
      <c r="B39"/>
      <c r="C39"/>
      <c r="D39"/>
      <c r="E39" s="82"/>
      <c r="F39" s="82"/>
      <c r="G39" s="82"/>
      <c r="H39" s="82"/>
    </row>
    <row r="40" spans="1:13" ht="17.25" thickBot="1" x14ac:dyDescent="0.35">
      <c r="A40" s="84" t="str">
        <f ca="1">'Calc (Market Slow Rate)'!B2</f>
        <v>Calc (Market Slow Rate)</v>
      </c>
      <c r="B40"/>
      <c r="C40"/>
      <c r="D40"/>
      <c r="E40" s="82"/>
      <c r="F40" s="82"/>
      <c r="G40" s="82"/>
      <c r="H40" s="82"/>
    </row>
    <row r="41" spans="1:13" ht="17.25" thickBot="1" x14ac:dyDescent="0.35">
      <c r="A41" t="str">
        <f>A26</f>
        <v>Wholesale</v>
      </c>
      <c r="B41"/>
      <c r="C41" t="s">
        <v>65</v>
      </c>
      <c r="D41"/>
      <c r="E41" s="77">
        <f ca="1">IF(LEFT(A40,5)="blank",0,'Calc (Market Slow Rate)'!$E$85*'Calc (Market Slow Rate)'!$E$160+'Calc (Market Slow Rate)'!$E$100*'Calc (Market Slow Rate)'!$E$161+'Calc (Market Slow Rate)'!$E$115*'Calc (Market Slow Rate)'!$E$162+'Calc (Market Slow Rate)'!$E$130*'Calc (Market Slow Rate)'!$E$163+'Calc (Market Slow Rate)'!$E$145*'Calc (Market Slow Rate)'!$E$164)</f>
        <v>5.9533839999999998</v>
      </c>
      <c r="F41" s="77">
        <f ca="1">IF(LEFT(A40,5)="blank",0,'Calc (Market Slow Rate)'!$F$85*'Calc (Market Slow Rate)'!$F$160+'Calc (Market Slow Rate)'!$F$100*'Calc (Market Slow Rate)'!$F$161+'Calc (Market Slow Rate)'!$F$115*'Calc (Market Slow Rate)'!$F$162+'Calc (Market Slow Rate)'!$F$130*'Calc (Market Slow Rate)'!$F$163+'Calc (Market Slow Rate)'!$F$145*'Calc (Market Slow Rate)'!$F$164)</f>
        <v>5.4239500000000005</v>
      </c>
      <c r="G41" s="77">
        <f ca="1">IF(LEFT(A40,5)="blank",0,'Calc (Market Slow Rate)'!$G$85*'Calc (Market Slow Rate)'!$G$160+'Calc (Market Slow Rate)'!$G$100*'Calc (Market Slow Rate)'!$G$161+'Calc (Market Slow Rate)'!$G$115*'Calc (Market Slow Rate)'!$G$162+'Calc (Market Slow Rate)'!$G$130*'Calc (Market Slow Rate)'!$G$163+'Calc (Market Slow Rate)'!$G$145*'Calc (Market Slow Rate)'!$G$164)</f>
        <v>5.306961189413423</v>
      </c>
      <c r="H41" s="77">
        <f ca="1">IF(LEFT(A40,5)="blank",0,'Calc (Market Slow Rate)'!$H$85*'Calc (Market Slow Rate)'!$H$160+'Calc (Market Slow Rate)'!$H$100*'Calc (Market Slow Rate)'!$H$161+'Calc (Market Slow Rate)'!$H$115*'Calc (Market Slow Rate)'!$H$162+'Calc (Market Slow Rate)'!$H$130*'Calc (Market Slow Rate)'!$H$163+'Calc (Market Slow Rate)'!$H$145*'Calc (Market Slow Rate)'!$H$164)</f>
        <v>5.1146080339817193</v>
      </c>
    </row>
    <row r="42" spans="1:13" ht="17.25" thickBot="1" x14ac:dyDescent="0.35">
      <c r="A42" t="str">
        <f t="shared" ref="A42:A52" si="0">A27</f>
        <v>Transmission</v>
      </c>
      <c r="B42"/>
      <c r="C42" t="s">
        <v>65</v>
      </c>
      <c r="D42"/>
      <c r="E42" s="77">
        <f ca="1">IF(LEFT(A40,5)="blank",0,'Calc (Market Slow Rate)'!$E$86*'Calc (Market Slow Rate)'!$E$160+'Calc (Market Slow Rate)'!$E$101*'Calc (Market Slow Rate)'!$E$161+'Calc (Market Slow Rate)'!$E$116*'Calc (Market Slow Rate)'!$E$162+'Calc (Market Slow Rate)'!$E$131*'Calc (Market Slow Rate)'!$E$163+'Calc (Market Slow Rate)'!$E$146*'Calc (Market Slow Rate)'!$E$164)</f>
        <v>1.377</v>
      </c>
      <c r="F42" s="77">
        <f ca="1">IF(LEFT(A40,5)="blank",0,'Calc (Market Slow Rate)'!$F$86*'Calc (Market Slow Rate)'!$F$160+'Calc (Market Slow Rate)'!$F$101*'Calc (Market Slow Rate)'!$F$161+'Calc (Market Slow Rate)'!$F$116*'Calc (Market Slow Rate)'!$F$162+'Calc (Market Slow Rate)'!$F$131*'Calc (Market Slow Rate)'!$F$163+'Calc (Market Slow Rate)'!$F$146*'Calc (Market Slow Rate)'!$F$164)</f>
        <v>1.653</v>
      </c>
      <c r="G42" s="77">
        <f ca="1">IF(LEFT(A40,5)="blank",0,'Calc (Market Slow Rate)'!$G$86*'Calc (Market Slow Rate)'!$G$160+'Calc (Market Slow Rate)'!$G$101*'Calc (Market Slow Rate)'!$G$161+'Calc (Market Slow Rate)'!$G$116*'Calc (Market Slow Rate)'!$G$162+'Calc (Market Slow Rate)'!$G$131*'Calc (Market Slow Rate)'!$G$163+'Calc (Market Slow Rate)'!$G$146*'Calc (Market Slow Rate)'!$G$164)</f>
        <v>1.7681587277667981</v>
      </c>
      <c r="H42" s="77">
        <f ca="1">IF(LEFT(A40,5)="blank",0,'Calc (Market Slow Rate)'!$H$86*'Calc (Market Slow Rate)'!$H$160+'Calc (Market Slow Rate)'!$H$101*'Calc (Market Slow Rate)'!$H$161+'Calc (Market Slow Rate)'!$H$116*'Calc (Market Slow Rate)'!$H$162+'Calc (Market Slow Rate)'!$H$131*'Calc (Market Slow Rate)'!$H$163+'Calc (Market Slow Rate)'!$H$146*'Calc (Market Slow Rate)'!$H$164)</f>
        <v>1.8913401612691485</v>
      </c>
    </row>
    <row r="43" spans="1:13" ht="17.25" thickBot="1" x14ac:dyDescent="0.35">
      <c r="A43" t="str">
        <f t="shared" si="0"/>
        <v>Distribution</v>
      </c>
      <c r="B43"/>
      <c r="C43" t="s">
        <v>65</v>
      </c>
      <c r="D43"/>
      <c r="E43" s="77">
        <f ca="1">IF(LEFT(A40,5)="blank",0,'Calc (Market Slow Rate)'!$E$87*'Calc (Market Slow Rate)'!$E$160+'Calc (Market Slow Rate)'!$E$102*'Calc (Market Slow Rate)'!$E$161+'Calc (Market Slow Rate)'!$E$117*'Calc (Market Slow Rate)'!$E$162+'Calc (Market Slow Rate)'!$E$132*'Calc (Market Slow Rate)'!$E$163+'Calc (Market Slow Rate)'!$E$147*'Calc (Market Slow Rate)'!$E$164)</f>
        <v>5.8543412017953766</v>
      </c>
      <c r="F43" s="77">
        <f ca="1">IF(LEFT(A40,5)="blank",0,'Calc (Market Slow Rate)'!$F$87*'Calc (Market Slow Rate)'!$F$160+'Calc (Market Slow Rate)'!$F$102*'Calc (Market Slow Rate)'!$F$161+'Calc (Market Slow Rate)'!$F$117*'Calc (Market Slow Rate)'!$F$162+'Calc (Market Slow Rate)'!$F$132*'Calc (Market Slow Rate)'!$F$163+'Calc (Market Slow Rate)'!$F$147*'Calc (Market Slow Rate)'!$F$164)</f>
        <v>6.1015645288266089</v>
      </c>
      <c r="G43" s="77">
        <f ca="1">IF(LEFT(A40,5)="blank",0,'Calc (Market Slow Rate)'!$G$87*'Calc (Market Slow Rate)'!$G$160+'Calc (Market Slow Rate)'!$G$102*'Calc (Market Slow Rate)'!$G$161+'Calc (Market Slow Rate)'!$G$117*'Calc (Market Slow Rate)'!$G$162+'Calc (Market Slow Rate)'!$G$132*'Calc (Market Slow Rate)'!$G$163+'Calc (Market Slow Rate)'!$G$147*'Calc (Market Slow Rate)'!$G$164)</f>
        <v>6.5133271027211919</v>
      </c>
      <c r="H43" s="77">
        <f ca="1">IF(LEFT(A40,5)="blank",0,'Calc (Market Slow Rate)'!$H$87*'Calc (Market Slow Rate)'!$H$160+'Calc (Market Slow Rate)'!$H$102*'Calc (Market Slow Rate)'!$H$161+'Calc (Market Slow Rate)'!$H$117*'Calc (Market Slow Rate)'!$H$162+'Calc (Market Slow Rate)'!$H$132*'Calc (Market Slow Rate)'!$H$163+'Calc (Market Slow Rate)'!$H$147*'Calc (Market Slow Rate)'!$H$164)</f>
        <v>7.0049070260268023</v>
      </c>
    </row>
    <row r="44" spans="1:13" ht="17.25" thickBot="1" x14ac:dyDescent="0.35">
      <c r="A44" t="str">
        <f t="shared" si="0"/>
        <v>Retail</v>
      </c>
      <c r="B44"/>
      <c r="C44" t="s">
        <v>65</v>
      </c>
      <c r="D44"/>
      <c r="E44" s="77">
        <f ca="1">IF(LEFT(A40,5)="blank",0,'Calc (Market Slow Rate)'!$E$88*'Calc (Market Slow Rate)'!$E$160+'Calc (Market Slow Rate)'!$E$103*'Calc (Market Slow Rate)'!$E$161+'Calc (Market Slow Rate)'!$E$118*'Calc (Market Slow Rate)'!$E$162+'Calc (Market Slow Rate)'!$E$133*'Calc (Market Slow Rate)'!$E$163+'Calc (Market Slow Rate)'!$E$148*'Calc (Market Slow Rate)'!$E$164)</f>
        <v>1.0860000000000001</v>
      </c>
      <c r="F44" s="77">
        <f ca="1">IF(LEFT(A40,5)="blank",0,'Calc (Market Slow Rate)'!$F$88*'Calc (Market Slow Rate)'!$F$160+'Calc (Market Slow Rate)'!$F$103*'Calc (Market Slow Rate)'!$F$161+'Calc (Market Slow Rate)'!$F$118*'Calc (Market Slow Rate)'!$F$162+'Calc (Market Slow Rate)'!$F$133*'Calc (Market Slow Rate)'!$F$163+'Calc (Market Slow Rate)'!$F$148*'Calc (Market Slow Rate)'!$F$164)</f>
        <v>1.1131499999999999</v>
      </c>
      <c r="G44" s="77">
        <f ca="1">IF(LEFT(A40,5)="blank",0,'Calc (Market Slow Rate)'!$G$88*'Calc (Market Slow Rate)'!$G$160+'Calc (Market Slow Rate)'!$G$103*'Calc (Market Slow Rate)'!$G$161+'Calc (Market Slow Rate)'!$G$118*'Calc (Market Slow Rate)'!$G$162+'Calc (Market Slow Rate)'!$G$133*'Calc (Market Slow Rate)'!$G$163+'Calc (Market Slow Rate)'!$G$148*'Calc (Market Slow Rate)'!$G$164)</f>
        <v>1.1409787499999997</v>
      </c>
      <c r="H44" s="77">
        <f ca="1">IF(LEFT(A40,5)="blank",0,'Calc (Market Slow Rate)'!$H$88*'Calc (Market Slow Rate)'!$H$160+'Calc (Market Slow Rate)'!$H$103*'Calc (Market Slow Rate)'!$H$161+'Calc (Market Slow Rate)'!$H$118*'Calc (Market Slow Rate)'!$H$162+'Calc (Market Slow Rate)'!$H$133*'Calc (Market Slow Rate)'!$H$163+'Calc (Market Slow Rate)'!$H$148*'Calc (Market Slow Rate)'!$H$164)</f>
        <v>1.1695032187499996</v>
      </c>
    </row>
    <row r="45" spans="1:13" ht="17.25" thickBot="1" x14ac:dyDescent="0.35">
      <c r="A45" t="str">
        <f t="shared" si="0"/>
        <v>Retail and Residual</v>
      </c>
      <c r="B45"/>
      <c r="C45" t="s">
        <v>65</v>
      </c>
      <c r="D45"/>
      <c r="E45" s="77">
        <f ca="1">IF(LEFT(A40,5)="blank",0,'Calc (Market Slow Rate)'!$E$89*'Calc (Market Slow Rate)'!$E$160+'Calc (Market Slow Rate)'!$E$104*'Calc (Market Slow Rate)'!$E$161+'Calc (Market Slow Rate)'!$E$119*'Calc (Market Slow Rate)'!$E$162+'Calc (Market Slow Rate)'!$E$134*'Calc (Market Slow Rate)'!$E$163+'Calc (Market Slow Rate)'!$E$149*'Calc (Market Slow Rate)'!$E$164)</f>
        <v>0.86559191353800879</v>
      </c>
      <c r="F45" s="77">
        <f ca="1">IF(LEFT(A40,5)="blank",0,'Calc (Market Slow Rate)'!$F$89*'Calc (Market Slow Rate)'!$F$160+'Calc (Market Slow Rate)'!$F$104*'Calc (Market Slow Rate)'!$F$161+'Calc (Market Slow Rate)'!$F$119*'Calc (Market Slow Rate)'!$F$162+'Calc (Market Slow Rate)'!$F$134*'Calc (Market Slow Rate)'!$F$163+'Calc (Market Slow Rate)'!$F$149*'Calc (Market Slow Rate)'!$F$164)</f>
        <v>0.97658452849435995</v>
      </c>
      <c r="G45" s="77">
        <f ca="1">IF(LEFT(A40,5)="blank",0,'Calc (Market Slow Rate)'!$G$89*'Calc (Market Slow Rate)'!$G$160+'Calc (Market Slow Rate)'!$G$104*'Calc (Market Slow Rate)'!$G$161+'Calc (Market Slow Rate)'!$G$119*'Calc (Market Slow Rate)'!$G$162+'Calc (Market Slow Rate)'!$G$134*'Calc (Market Slow Rate)'!$G$163+'Calc (Market Slow Rate)'!$G$149*'Calc (Market Slow Rate)'!$G$164)</f>
        <v>1.0145247484785938</v>
      </c>
      <c r="H45" s="77">
        <f ca="1">IF(LEFT(A40,5)="blank",0,'Calc (Market Slow Rate)'!$H$89*'Calc (Market Slow Rate)'!$H$160+'Calc (Market Slow Rate)'!$H$104*'Calc (Market Slow Rate)'!$H$161+'Calc (Market Slow Rate)'!$H$119*'Calc (Market Slow Rate)'!$H$162+'Calc (Market Slow Rate)'!$H$134*'Calc (Market Slow Rate)'!$H$163+'Calc (Market Slow Rate)'!$H$149*'Calc (Market Slow Rate)'!$H$164)</f>
        <v>1.0365893440784819</v>
      </c>
    </row>
    <row r="46" spans="1:13" ht="17.25" thickBot="1" x14ac:dyDescent="0.35">
      <c r="A46" t="str">
        <f t="shared" si="0"/>
        <v>Green Schemes</v>
      </c>
      <c r="B46"/>
      <c r="C46"/>
      <c r="D46"/>
      <c r="E46" s="82"/>
      <c r="F46" s="83"/>
      <c r="G46" s="82"/>
      <c r="H46" s="82"/>
    </row>
    <row r="47" spans="1:13" ht="17.25" thickBot="1" x14ac:dyDescent="0.35">
      <c r="A47" s="11" t="str">
        <f t="shared" si="0"/>
        <v>Feed-in Tariffs</v>
      </c>
      <c r="B47"/>
      <c r="C47" t="s">
        <v>65</v>
      </c>
      <c r="D47"/>
      <c r="E47" s="77">
        <f ca="1">IF(LEFT(A40,5)="blank",0,'Calc (Market Slow Rate)'!E$91*'Calc (Market Slow Rate)'!E$160+'Calc (Market Slow Rate)'!E$106*'Calc (Market Slow Rate)'!E$161+'Calc (Market Slow Rate)'!E$121*'Calc (Market Slow Rate)'!E$162+'Calc (Market Slow Rate)'!E$136*'Calc (Market Slow Rate)'!E$163+'Calc (Market Slow Rate)'!E$151*'Calc (Market Slow Rate)'!E$164)</f>
        <v>0.33175467853812057</v>
      </c>
      <c r="F47" s="77">
        <f ca="1">IF(LEFT(A40,5)="blank",0,'Calc (Market Slow Rate)'!F$91*'Calc (Market Slow Rate)'!F$160+'Calc (Market Slow Rate)'!F$106*'Calc (Market Slow Rate)'!F$161+'Calc (Market Slow Rate)'!F$121*'Calc (Market Slow Rate)'!F$162+'Calc (Market Slow Rate)'!F$136*'Calc (Market Slow Rate)'!F$163+'Calc (Market Slow Rate)'!F$151*'Calc (Market Slow Rate)'!F$164)</f>
        <v>0.4122341469948716</v>
      </c>
      <c r="G47" s="77">
        <f ca="1">IF(LEFT(A40,5)="blank",0,'Calc (Market Slow Rate)'!G$91*'Calc (Market Slow Rate)'!G$160+'Calc (Market Slow Rate)'!G$106*'Calc (Market Slow Rate)'!G$161+'Calc (Market Slow Rate)'!G$121*'Calc (Market Slow Rate)'!G$162+'Calc (Market Slow Rate)'!G$136*'Calc (Market Slow Rate)'!G$163+'Calc (Market Slow Rate)'!G$151*'Calc (Market Slow Rate)'!G$164)</f>
        <v>0.49288049723650695</v>
      </c>
      <c r="H47" s="77">
        <f ca="1">IF(LEFT(A40,5)="blank",0,'Calc (Market Slow Rate)'!H$91*'Calc (Market Slow Rate)'!H$160+'Calc (Market Slow Rate)'!H$106*'Calc (Market Slow Rate)'!H$161+'Calc (Market Slow Rate)'!H$121*'Calc (Market Slow Rate)'!H$162+'Calc (Market Slow Rate)'!H$136*'Calc (Market Slow Rate)'!H$163+'Calc (Market Slow Rate)'!H$151*'Calc (Market Slow Rate)'!H$164)</f>
        <v>0.53253396544042708</v>
      </c>
    </row>
    <row r="48" spans="1:13" ht="17.25" thickBot="1" x14ac:dyDescent="0.35">
      <c r="A48" s="11" t="str">
        <f t="shared" si="0"/>
        <v>Carbon costs</v>
      </c>
      <c r="B48"/>
      <c r="C48" t="s">
        <v>65</v>
      </c>
      <c r="D48"/>
      <c r="E48" s="77">
        <f ca="1">IF(LEFT(A40,5)="blank",0,'Calc (Market Slow Rate)'!E$92*'Calc (Market Slow Rate)'!E$160+'Calc (Market Slow Rate)'!E$107*'Calc (Market Slow Rate)'!E$161+'Calc (Market Slow Rate)'!E$122*'Calc (Market Slow Rate)'!E$162+'Calc (Market Slow Rate)'!E$137*'Calc (Market Slow Rate)'!E$163+'Calc (Market Slow Rate)'!E$152*'Calc (Market Slow Rate)'!E$164)</f>
        <v>0</v>
      </c>
      <c r="F48" s="77">
        <f ca="1">IF(LEFT(A40,5)="blank",0,'Calc (Market Slow Rate)'!F$92*'Calc (Market Slow Rate)'!F$160+'Calc (Market Slow Rate)'!F$107*'Calc (Market Slow Rate)'!F$161+'Calc (Market Slow Rate)'!F$122*'Calc (Market Slow Rate)'!F$162+'Calc (Market Slow Rate)'!F$137*'Calc (Market Slow Rate)'!F$163+'Calc (Market Slow Rate)'!F$152*'Calc (Market Slow Rate)'!F$164)</f>
        <v>2.1179999999999999</v>
      </c>
      <c r="G48" s="77">
        <f ca="1">IF(LEFT(A40,5)="blank",0,'Calc (Market Slow Rate)'!G$92*'Calc (Market Slow Rate)'!G$160+'Calc (Market Slow Rate)'!G$107*'Calc (Market Slow Rate)'!G$161+'Calc (Market Slow Rate)'!G$122*'Calc (Market Slow Rate)'!G$162+'Calc (Market Slow Rate)'!G$137*'Calc (Market Slow Rate)'!G$163+'Calc (Market Slow Rate)'!G$152*'Calc (Market Slow Rate)'!G$164)</f>
        <v>2.4759321835053401</v>
      </c>
      <c r="H48" s="77">
        <f ca="1">IF(LEFT(A40,5)="blank",0,'Calc (Market Slow Rate)'!H$92*'Calc (Market Slow Rate)'!H$160+'Calc (Market Slow Rate)'!H$107*'Calc (Market Slow Rate)'!H$161+'Calc (Market Slow Rate)'!H$122*'Calc (Market Slow Rate)'!H$162+'Calc (Market Slow Rate)'!H$137*'Calc (Market Slow Rate)'!H$163+'Calc (Market Slow Rate)'!H$152*'Calc (Market Slow Rate)'!H$164)</f>
        <v>2.3237675490028114</v>
      </c>
    </row>
    <row r="49" spans="1:13" ht="17.25" thickBot="1" x14ac:dyDescent="0.35">
      <c r="A49" s="11" t="str">
        <f t="shared" si="0"/>
        <v>Large Scale Renewable Energy Target</v>
      </c>
      <c r="B49"/>
      <c r="C49" t="s">
        <v>65</v>
      </c>
      <c r="D49"/>
      <c r="E49" s="77">
        <f ca="1">IF(LEFT(A40,5)="blank",0,'Calc (Market Slow Rate)'!$E$93*'Calc (Market Slow Rate)'!$E$160+'Calc (Market Slow Rate)'!$E$108*'Calc (Market Slow Rate)'!$E$161+'Calc (Market Slow Rate)'!$E$123*'Calc (Market Slow Rate)'!$E$162+'Calc (Market Slow Rate)'!$E$138*'Calc (Market Slow Rate)'!$E$163+'Calc (Market Slow Rate)'!$E$153*'Calc (Market Slow Rate)'!$E$164)</f>
        <v>0.49660295395308429</v>
      </c>
      <c r="F49" s="77">
        <f ca="1">IF(LEFT(A40,5)="blank",0,'Calc (Market Slow Rate)'!$F$93*'Calc (Market Slow Rate)'!$F$160+'Calc (Market Slow Rate)'!$F$108*'Calc (Market Slow Rate)'!$F$161+'Calc (Market Slow Rate)'!$F$123*'Calc (Market Slow Rate)'!$F$162+'Calc (Market Slow Rate)'!$F$138*'Calc (Market Slow Rate)'!$F$163+'Calc (Market Slow Rate)'!$F$153*'Calc (Market Slow Rate)'!$F$164)</f>
        <v>0.43499999999999994</v>
      </c>
      <c r="G49" s="77">
        <f ca="1">IF(LEFT(A40,5)="blank",0,'Calc (Market Slow Rate)'!$G$93*'Calc (Market Slow Rate)'!$G$160+'Calc (Market Slow Rate)'!$G$108*'Calc (Market Slow Rate)'!$G$161+'Calc (Market Slow Rate)'!$G$123*'Calc (Market Slow Rate)'!$G$162+'Calc (Market Slow Rate)'!$G$138*'Calc (Market Slow Rate)'!$G$163+'Calc (Market Slow Rate)'!$G$153*'Calc (Market Slow Rate)'!$G$164)</f>
        <v>0.46612711098865739</v>
      </c>
      <c r="H49" s="77">
        <f ca="1">IF(LEFT(A40,5)="blank",0,'Calc (Market Slow Rate)'!$H$93*'Calc (Market Slow Rate)'!$H$160+'Calc (Market Slow Rate)'!$H$108*'Calc (Market Slow Rate)'!$H$161+'Calc (Market Slow Rate)'!$H$123*'Calc (Market Slow Rate)'!$H$162+'Calc (Market Slow Rate)'!$H$138*'Calc (Market Slow Rate)'!$H$163+'Calc (Market Slow Rate)'!$H$153*'Calc (Market Slow Rate)'!$H$164)</f>
        <v>0.49360828894229231</v>
      </c>
    </row>
    <row r="50" spans="1:13" ht="17.25" thickBot="1" x14ac:dyDescent="0.35">
      <c r="A50" s="11" t="str">
        <f t="shared" si="0"/>
        <v>Small Scale Renewable Energy Scheme</v>
      </c>
      <c r="B50"/>
      <c r="C50" t="s">
        <v>65</v>
      </c>
      <c r="D50"/>
      <c r="E50" s="77">
        <f ca="1">IF(LEFT(A40,5)="blank",0,'Calc (Market Slow Rate)'!$E$94*'Calc (Market Slow Rate)'!$E$160+'Calc (Market Slow Rate)'!$E$109*'Calc (Market Slow Rate)'!$E$161+'Calc (Market Slow Rate)'!$E$124*'Calc (Market Slow Rate)'!$E$162+'Calc (Market Slow Rate)'!$E$139*'Calc (Market Slow Rate)'!$E$163+'Calc (Market Slow Rate)'!$E$154*'Calc (Market Slow Rate)'!$E$164)</f>
        <v>0.81739704604691588</v>
      </c>
      <c r="F50" s="77">
        <f ca="1">IF(LEFT(A40,5)="blank",0,'Calc (Market Slow Rate)'!$F$94*'Calc (Market Slow Rate)'!$F$160+'Calc (Market Slow Rate)'!$F$109*'Calc (Market Slow Rate)'!$F$161+'Calc (Market Slow Rate)'!$F$124*'Calc (Market Slow Rate)'!$F$162+'Calc (Market Slow Rate)'!$F$139*'Calc (Market Slow Rate)'!$F$163+'Calc (Market Slow Rate)'!$F$154*'Calc (Market Slow Rate)'!$F$164)</f>
        <v>0.71599999999999997</v>
      </c>
      <c r="G50" s="77">
        <f ca="1">IF(LEFT(A40,5)="blank",0,'Calc (Market Slow Rate)'!$G$94*'Calc (Market Slow Rate)'!$G$160+'Calc (Market Slow Rate)'!$G$109*'Calc (Market Slow Rate)'!$G$161+'Calc (Market Slow Rate)'!$G$124*'Calc (Market Slow Rate)'!$G$162+'Calc (Market Slow Rate)'!$G$139*'Calc (Market Slow Rate)'!$G$163+'Calc (Market Slow Rate)'!$G$154*'Calc (Market Slow Rate)'!$G$164)</f>
        <v>0.31512978056426327</v>
      </c>
      <c r="H50" s="77">
        <f ca="1">IF(LEFT(A40,5)="blank",0,'Calc (Market Slow Rate)'!$H$94*'Calc (Market Slow Rate)'!$H$160+'Calc (Market Slow Rate)'!$H$109*'Calc (Market Slow Rate)'!$H$161+'Calc (Market Slow Rate)'!$H$124*'Calc (Market Slow Rate)'!$H$162+'Calc (Market Slow Rate)'!$H$139*'Calc (Market Slow Rate)'!$H$163+'Calc (Market Slow Rate)'!$H$154*'Calc (Market Slow Rate)'!$H$164)</f>
        <v>0.27383072100313477</v>
      </c>
    </row>
    <row r="51" spans="1:13" ht="17.25" thickBot="1" x14ac:dyDescent="0.35">
      <c r="A51" s="11" t="str">
        <f t="shared" si="0"/>
        <v>Greenhouse gas abatement scheme</v>
      </c>
      <c r="B51"/>
      <c r="C51" t="s">
        <v>65</v>
      </c>
      <c r="D51"/>
      <c r="E51" s="77">
        <f ca="1">IF(LEFT(A40,5)="blank",0,'Calc (Market Slow Rate)'!$E$95*'Calc (Market Slow Rate)'!$E$160+'Calc (Market Slow Rate)'!$E$110*'Calc (Market Slow Rate)'!$E$161+'Calc (Market Slow Rate)'!$E$125*'Calc (Market Slow Rate)'!$E$162+'Calc (Market Slow Rate)'!$E$140*'Calc (Market Slow Rate)'!$E$163+'Calc (Market Slow Rate)'!$E$155*'Calc (Market Slow Rate)'!$E$164)</f>
        <v>0.11299999999999999</v>
      </c>
      <c r="F51" s="77">
        <f ca="1">IF(LEFT(A40,5)="blank",0,'Calc (Market Slow Rate)'!$F$95*'Calc (Market Slow Rate)'!$F$160+'Calc (Market Slow Rate)'!$F$110*'Calc (Market Slow Rate)'!$F$161+'Calc (Market Slow Rate)'!$F$125*'Calc (Market Slow Rate)'!$F$162+'Calc (Market Slow Rate)'!$F$140*'Calc (Market Slow Rate)'!$F$163+'Calc (Market Slow Rate)'!$F$155*'Calc (Market Slow Rate)'!$F$164)</f>
        <v>0</v>
      </c>
      <c r="G51" s="77">
        <f ca="1">IF(LEFT(A40,5)="blank",0,'Calc (Market Slow Rate)'!$G$95*'Calc (Market Slow Rate)'!$G$160+'Calc (Market Slow Rate)'!$G$110*'Calc (Market Slow Rate)'!$G$161+'Calc (Market Slow Rate)'!$G$125*'Calc (Market Slow Rate)'!$G$162+'Calc (Market Slow Rate)'!$G$140*'Calc (Market Slow Rate)'!$G$163+'Calc (Market Slow Rate)'!$G$155*'Calc (Market Slow Rate)'!$G$164)</f>
        <v>0</v>
      </c>
      <c r="H51" s="77">
        <f ca="1">IF(LEFT(A40,5)="blank",0,'Calc (Market Slow Rate)'!$H$95*'Calc (Market Slow Rate)'!$H$160+'Calc (Market Slow Rate)'!$H$110*'Calc (Market Slow Rate)'!$H$161+'Calc (Market Slow Rate)'!$H$125*'Calc (Market Slow Rate)'!$H$162+'Calc (Market Slow Rate)'!$H$140*'Calc (Market Slow Rate)'!$H$163+'Calc (Market Slow Rate)'!$H$155*'Calc (Market Slow Rate)'!$H$164)</f>
        <v>0</v>
      </c>
    </row>
    <row r="52" spans="1:13" ht="17.25" thickBot="1" x14ac:dyDescent="0.35">
      <c r="A52" s="11" t="str">
        <f t="shared" si="0"/>
        <v>Energy Savings</v>
      </c>
      <c r="B52"/>
      <c r="C52" t="s">
        <v>65</v>
      </c>
      <c r="D52"/>
      <c r="E52" s="77">
        <f ca="1">IF(LEFT(A40,5)="blank",0,'Calc (Market Slow Rate)'!$E$96*'Calc (Market Slow Rate)'!$E$160+'Calc (Market Slow Rate)'!$E$111*'Calc (Market Slow Rate)'!$E$161+'Calc (Market Slow Rate)'!$E$126*'Calc (Market Slow Rate)'!$E$162+'Calc (Market Slow Rate)'!$E$141*'Calc (Market Slow Rate)'!$E$163+'Calc (Market Slow Rate)'!$E$156*'Calc (Market Slow Rate)'!$E$164)</f>
        <v>0</v>
      </c>
      <c r="F52" s="77">
        <f ca="1">IF(LEFT(A40,5)="blank",0,'Calc (Market Slow Rate)'!$F$96*'Calc (Market Slow Rate)'!$F$160+'Calc (Market Slow Rate)'!$F$111*'Calc (Market Slow Rate)'!$F$161+'Calc (Market Slow Rate)'!$F$126*'Calc (Market Slow Rate)'!$F$162+'Calc (Market Slow Rate)'!$F$141*'Calc (Market Slow Rate)'!$F$163+'Calc (Market Slow Rate)'!$F$156*'Calc (Market Slow Rate)'!$G$18)</f>
        <v>0.11200000000000002</v>
      </c>
      <c r="G52" s="77">
        <f ca="1">IF(LEFT(A40,5)="blank",0,'Calc (Market Slow Rate)'!$G$96*'Calc (Market Slow Rate)'!$G$160+'Calc (Market Slow Rate)'!$G$111*'Calc (Market Slow Rate)'!$G$161+'Calc (Market Slow Rate)'!$G$126*'Calc (Market Slow Rate)'!$G$162+'Calc (Market Slow Rate)'!$G$141*'Calc (Market Slow Rate)'!$G$163+'Calc (Market Slow Rate)'!$G$156*'Calc (Market Slow Rate)'!$G$164)</f>
        <v>0.308</v>
      </c>
      <c r="H52" s="77">
        <f ca="1">IF(LEFT(A40,5)="blank",0,'Calc (Market Slow Rate)'!$H$96*'Calc (Market Slow Rate)'!$H$160+'Calc (Market Slow Rate)'!$H$111*'Calc (Market Slow Rate)'!$H$161+'Calc (Market Slow Rate)'!$H$126*'Calc (Market Slow Rate)'!$H$162+'Calc (Market Slow Rate)'!$H$141*'Calc (Market Slow Rate)'!$H$163+'Calc (Market Slow Rate)'!$H$156*'Calc (Market Slow Rate)'!$H$164)</f>
        <v>0.39200000000000007</v>
      </c>
      <c r="J52" s="28"/>
      <c r="K52" s="28"/>
      <c r="L52" s="28"/>
      <c r="M52" s="28"/>
    </row>
    <row r="53" spans="1:13" ht="17.25" thickBot="1" x14ac:dyDescent="0.35">
      <c r="A53" t="str">
        <f>A38</f>
        <v>Total</v>
      </c>
      <c r="B53"/>
      <c r="C53" t="s">
        <v>65</v>
      </c>
      <c r="D53"/>
      <c r="E53" s="77">
        <f ca="1">SUM(E41:E52)</f>
        <v>16.895071793871505</v>
      </c>
      <c r="F53" s="77">
        <f ca="1">SUM(F41:F52)</f>
        <v>19.061483204315838</v>
      </c>
      <c r="G53" s="77">
        <f ca="1">SUM(G41:G52)</f>
        <v>19.802020090674773</v>
      </c>
      <c r="H53" s="77">
        <f ca="1">SUM(H41:H52)</f>
        <v>20.232688308494811</v>
      </c>
      <c r="J53" s="28"/>
      <c r="K53" s="28"/>
      <c r="L53" s="28"/>
      <c r="M53" s="28"/>
    </row>
    <row r="56" spans="1:13" ht="17.25" thickBot="1" x14ac:dyDescent="0.35"/>
    <row r="57" spans="1:13" ht="17.25" thickBot="1" x14ac:dyDescent="0.35">
      <c r="A57" s="32" t="str">
        <f ca="1">IFERROR(RIGHT(LEFT(A8,LEN(A8)-1),LEN(LEFT(A8,LEN(A8)-1))-FIND("(",LEFT(A8,LEN(A8)-1))),"blank")</f>
        <v>Jurisdiction</v>
      </c>
      <c r="E57" s="77">
        <f ca="1">IF(LEFT($A57,5)="blank",0,E21)</f>
        <v>16.895071793871505</v>
      </c>
      <c r="F57" s="77">
        <f ca="1">IF(LEFT($A57,5)="blank",0,F21)</f>
        <v>19.061483204315838</v>
      </c>
      <c r="G57" s="77">
        <f ca="1">IF(LEFT($A57,5)="blank",0,G21)</f>
        <v>19.331697777286806</v>
      </c>
      <c r="H57" s="77">
        <f ca="1">IF(LEFT($A57,5)="blank",0,H21)</f>
        <v>20.227733391818912</v>
      </c>
    </row>
    <row r="58" spans="1:13" ht="17.25" thickBot="1" x14ac:dyDescent="0.35">
      <c r="A58" s="32" t="str">
        <f ca="1">IFERROR(RIGHT(LEFT(A25,LEN(A25)-1),LEN(LEFT(A25,LEN(A25)-1))-FIND("(",LEFT(A25,LEN(A25)-1))),"blank")</f>
        <v>Market Planning Case</v>
      </c>
      <c r="E58" s="77">
        <f ca="1">IF(LEFT($A58,5)="blank",0,E38)</f>
        <v>16.895071793871505</v>
      </c>
      <c r="F58" s="77">
        <f ca="1">IF(LEFT($A58,5)="blank",0,F38)</f>
        <v>19.061483204315838</v>
      </c>
      <c r="G58" s="77">
        <f ca="1">IF(LEFT($A58,5)="blank",0,G38)</f>
        <v>19.331697777286806</v>
      </c>
      <c r="H58" s="77">
        <f ca="1">IF(LEFT($A58,5)="blank",0,H38)</f>
        <v>20.227733391818912</v>
      </c>
    </row>
    <row r="59" spans="1:13" ht="17.25" thickBot="1" x14ac:dyDescent="0.35">
      <c r="A59" s="32" t="str">
        <f ca="1">IFERROR(RIGHT(LEFT(A40,LEN(A40)-1),LEN(LEFT(A40,LEN(A40)-1))-FIND("(",LEFT(A40,LEN(A40)-1))),"blank")</f>
        <v>Market Slow Rate</v>
      </c>
      <c r="E59" s="77">
        <f ca="1">IF(LEFT($A59,5)="blank",0,E53)</f>
        <v>16.895071793871505</v>
      </c>
      <c r="F59" s="77">
        <f ca="1">IF(LEFT($A59,5)="blank",0,F53)</f>
        <v>19.061483204315838</v>
      </c>
      <c r="G59" s="77">
        <f ca="1">IF(LEFT($A59,5)="blank",0,G53)</f>
        <v>19.802020090674773</v>
      </c>
      <c r="H59" s="77">
        <f ca="1">IF(LEFT($A59,5)="blank",0,H53)</f>
        <v>20.232688308494811</v>
      </c>
    </row>
    <row r="60" spans="1:13" x14ac:dyDescent="0.3">
      <c r="A60" s="32"/>
    </row>
    <row r="61" spans="1:13" ht="17.25" thickBot="1" x14ac:dyDescent="0.35">
      <c r="A61" s="21" t="str">
        <f ca="1">A8</f>
        <v>Calc (Jurisdiction)</v>
      </c>
      <c r="E61" s="94"/>
      <c r="F61" s="94"/>
      <c r="G61" s="94"/>
      <c r="H61" s="94"/>
    </row>
    <row r="62" spans="1:13" ht="17.25" thickBot="1" x14ac:dyDescent="0.35">
      <c r="A62" s="17" t="s">
        <v>1</v>
      </c>
      <c r="E62" s="77">
        <f ca="1">IF(LEFT($A61,5)="blank",0,E9+E16)</f>
        <v>5.9533839999999998</v>
      </c>
      <c r="F62" s="77">
        <f ca="1">IF(LEFT($A61,5)="blank",0,F9+F16)</f>
        <v>7.5419499999999999</v>
      </c>
      <c r="G62" s="77">
        <f ca="1">IF(LEFT($A61,5)="blank",0,G9+G16)</f>
        <v>7.336667285594773</v>
      </c>
      <c r="H62" s="77">
        <f ca="1">IF(LEFT($A61,5)="blank",0,H9+H16)</f>
        <v>7.4336744664791627</v>
      </c>
    </row>
    <row r="63" spans="1:13" ht="17.25" thickBot="1" x14ac:dyDescent="0.35">
      <c r="A63" s="17" t="s">
        <v>40</v>
      </c>
      <c r="E63" s="77">
        <f ca="1">IF(LEFT($A61,5)="blank",0,E10)</f>
        <v>1.377</v>
      </c>
      <c r="F63" s="77">
        <f ca="1">IF(LEFT($A61,5)="blank",0,F10)</f>
        <v>1.653</v>
      </c>
      <c r="G63" s="77">
        <f ca="1">IF(LEFT($A61,5)="blank",0,G10)</f>
        <v>1.7681587277667981</v>
      </c>
      <c r="H63" s="77">
        <f ca="1">IF(LEFT($A61,5)="blank",0,H10)</f>
        <v>1.8913401612691485</v>
      </c>
    </row>
    <row r="64" spans="1:13" ht="17.25" thickBot="1" x14ac:dyDescent="0.35">
      <c r="A64" s="17" t="s">
        <v>39</v>
      </c>
      <c r="E64" s="77">
        <f ca="1">IF(LEFT($A61,5)="blank",0,IF('Input Global'!$B$61="No",E11+E15+E19,E11+E15))</f>
        <v>6.1860958803334976</v>
      </c>
      <c r="F64" s="77">
        <f ca="1">IF(LEFT($A61,5)="blank",0,IF('Input Global'!$B$61="No",F11+F15+F19,F11+F15))</f>
        <v>6.5137986758214801</v>
      </c>
      <c r="G64" s="77">
        <f ca="1">IF(LEFT($A61,5)="blank",0,IF('Input Global'!$B$61="No",G11+G15+G19,G11+G15))</f>
        <v>7.0062075999576985</v>
      </c>
      <c r="H64" s="77">
        <f ca="1">IF(LEFT($A61,5)="blank",0,IF('Input Global'!$B$61="No",H11+H15+H19,H11+H15))</f>
        <v>7.5374409914672293</v>
      </c>
    </row>
    <row r="65" spans="1:8" ht="17.25" thickBot="1" x14ac:dyDescent="0.35">
      <c r="A65" s="17" t="s">
        <v>15</v>
      </c>
      <c r="E65" s="77">
        <f ca="1">IF(LEFT($A61,5)="blank",0,IF('Input Global'!$B$61="No",E12+E13+E17+E18+E20,E12+E13+E17+E18+E19+E20))</f>
        <v>3.3785919135380089</v>
      </c>
      <c r="F65" s="77">
        <f ca="1">IF(LEFT($A61,5)="blank",0,IF('Input Global'!$B$61="No",F12+F13+F17+F18+F20,F12+F13+F17+F18+F19+F20))</f>
        <v>3.3527345284943602</v>
      </c>
      <c r="G65" s="77">
        <f ca="1">IF(LEFT($A61,5)="blank",0,IF('Input Global'!$B$61="No",G12+G13+G17+G18+G20,G12+G13+G17+G18+G19+G20))</f>
        <v>3.2206641639675375</v>
      </c>
      <c r="H65" s="77">
        <f ca="1">IF(LEFT($A61,5)="blank",0,IF('Input Global'!$B$61="No",H12+H13+H17+H18+H20,H12+H13+H17+H18+H19+H20))</f>
        <v>3.3652777726033736</v>
      </c>
    </row>
    <row r="66" spans="1:8" ht="17.25" thickBot="1" x14ac:dyDescent="0.35">
      <c r="A66" s="20" t="s">
        <v>55</v>
      </c>
      <c r="B66" s="20"/>
      <c r="C66" s="20"/>
      <c r="D66" s="20"/>
      <c r="E66" s="77">
        <f ca="1">SUM(E62:E65)</f>
        <v>16.895071793871505</v>
      </c>
      <c r="F66" s="77">
        <f t="shared" ref="F66:H66" ca="1" si="1">SUM(F62:F65)</f>
        <v>19.061483204315842</v>
      </c>
      <c r="G66" s="77">
        <f t="shared" ca="1" si="1"/>
        <v>19.331697777286806</v>
      </c>
      <c r="H66" s="77">
        <f t="shared" ca="1" si="1"/>
        <v>20.227733391818916</v>
      </c>
    </row>
    <row r="67" spans="1:8" x14ac:dyDescent="0.3">
      <c r="A67" s="33" t="s">
        <v>93</v>
      </c>
      <c r="E67" s="33" t="b">
        <f ca="1">E21=E66</f>
        <v>1</v>
      </c>
      <c r="F67" s="33" t="b">
        <f ca="1">F21=F66</f>
        <v>1</v>
      </c>
      <c r="G67" s="33" t="b">
        <f ca="1">G21=G66</f>
        <v>1</v>
      </c>
      <c r="H67" s="33" t="b">
        <f ca="1">H21=H66</f>
        <v>1</v>
      </c>
    </row>
    <row r="69" spans="1:8" ht="17.25" thickBot="1" x14ac:dyDescent="0.35">
      <c r="A69" s="21" t="str">
        <f ca="1">A25</f>
        <v>Calc (Market Planning Case)</v>
      </c>
    </row>
    <row r="70" spans="1:8" ht="17.25" thickBot="1" x14ac:dyDescent="0.35">
      <c r="A70" s="17" t="s">
        <v>1</v>
      </c>
      <c r="E70" s="77">
        <f ca="1">IF(LEFT($A69,5)="blank",0,E26+E33)</f>
        <v>5.9533839999999998</v>
      </c>
      <c r="F70" s="77">
        <f ca="1">IF(LEFT($A69,5)="blank",0,F26+F33)</f>
        <v>7.5419499999999999</v>
      </c>
      <c r="G70" s="77">
        <f ca="1">IF(LEFT($A69,5)="blank",0,G26+G33)</f>
        <v>7.336667285594773</v>
      </c>
      <c r="H70" s="77">
        <f ca="1">IF(LEFT($A69,5)="blank",0,H26+H33)</f>
        <v>7.4336744664791627</v>
      </c>
    </row>
    <row r="71" spans="1:8" ht="17.25" thickBot="1" x14ac:dyDescent="0.35">
      <c r="A71" s="17" t="s">
        <v>40</v>
      </c>
      <c r="E71" s="77">
        <f ca="1">IF(LEFT($A69,5)="blank",0,E27)</f>
        <v>1.377</v>
      </c>
      <c r="F71" s="77">
        <f ca="1">IF(LEFT($A69,5)="blank",0,F27)</f>
        <v>1.653</v>
      </c>
      <c r="G71" s="77">
        <f ca="1">IF(LEFT($A69,5)="blank",0,G27)</f>
        <v>1.7681587277667981</v>
      </c>
      <c r="H71" s="77">
        <f ca="1">IF(LEFT($A69,5)="blank",0,H27)</f>
        <v>1.8913401612691485</v>
      </c>
    </row>
    <row r="72" spans="1:8" ht="17.25" thickBot="1" x14ac:dyDescent="0.35">
      <c r="A72" s="17" t="s">
        <v>39</v>
      </c>
      <c r="E72" s="77">
        <f ca="1">IF(LEFT($A69,5)="blank",0,IF('Input Global'!$B$61="No",E28+E32+E36,E28+E32))</f>
        <v>6.1860958803334976</v>
      </c>
      <c r="F72" s="77">
        <f ca="1">IF(LEFT($A69,5)="blank",0,IF('Input Global'!$B$61="No",F28+F32+F36,F28+F32))</f>
        <v>6.5137986758214801</v>
      </c>
      <c r="G72" s="77">
        <f ca="1">IF(LEFT($A69,5)="blank",0,IF('Input Global'!$B$61="No",G28+G32+G36,G28+G32))</f>
        <v>7.0062075999576985</v>
      </c>
      <c r="H72" s="77">
        <f ca="1">IF(LEFT($A69,5)="blank",0,IF('Input Global'!$B$61="No",H28+H32+H36,H28+H32))</f>
        <v>7.5374409914672293</v>
      </c>
    </row>
    <row r="73" spans="1:8" ht="17.25" thickBot="1" x14ac:dyDescent="0.35">
      <c r="A73" s="17" t="s">
        <v>15</v>
      </c>
      <c r="E73" s="77">
        <f ca="1">IF(LEFT($A69,5)="blank",0,IF('Input Global'!$B$61="No",E29+E30+E34+E35+E37,E29+E30+E34+E35+E36+E37))</f>
        <v>3.3785919135380089</v>
      </c>
      <c r="F73" s="77">
        <f ca="1">IF(LEFT($A69,5)="blank",0,IF('Input Global'!$B$61="No",F29+F30+F34+F35+F37,F29+F30+F34+F35+F36+F37))</f>
        <v>3.3527345284943602</v>
      </c>
      <c r="G73" s="77">
        <f ca="1">IF(LEFT($A69,5)="blank",0,IF('Input Global'!$B$61="No",G29+G30+G34+G35+G37,G29+G30+G34+G35+G36+G37))</f>
        <v>3.2206641639675375</v>
      </c>
      <c r="H73" s="77">
        <f ca="1">IF(LEFT($A69,5)="blank",0,IF('Input Global'!$B$61="No",H29+H30+H34+H35+H37,H29+H30+H34+H35+H36+H37))</f>
        <v>3.3652777726033736</v>
      </c>
    </row>
    <row r="74" spans="1:8" ht="17.25" thickBot="1" x14ac:dyDescent="0.35">
      <c r="A74" s="20" t="s">
        <v>55</v>
      </c>
      <c r="B74" s="20"/>
      <c r="C74" s="20"/>
      <c r="D74" s="20"/>
      <c r="E74" s="77">
        <f ca="1">SUM(E70:E73)</f>
        <v>16.895071793871505</v>
      </c>
      <c r="F74" s="77">
        <f t="shared" ref="F74:H74" ca="1" si="2">SUM(F70:F73)</f>
        <v>19.061483204315842</v>
      </c>
      <c r="G74" s="77">
        <f t="shared" ca="1" si="2"/>
        <v>19.331697777286806</v>
      </c>
      <c r="H74" s="77">
        <f t="shared" ca="1" si="2"/>
        <v>20.227733391818916</v>
      </c>
    </row>
    <row r="75" spans="1:8" x14ac:dyDescent="0.3">
      <c r="A75" s="33" t="s">
        <v>93</v>
      </c>
      <c r="E75" s="33" t="b">
        <f ca="1">E38=E74</f>
        <v>1</v>
      </c>
      <c r="F75" s="33" t="b">
        <f ca="1">F38=F74</f>
        <v>1</v>
      </c>
      <c r="G75" s="33" t="b">
        <f ca="1">G38=G74</f>
        <v>1</v>
      </c>
      <c r="H75" s="33" t="b">
        <f ca="1">H38=H74</f>
        <v>1</v>
      </c>
    </row>
    <row r="77" spans="1:8" ht="17.25" thickBot="1" x14ac:dyDescent="0.35">
      <c r="A77" s="21" t="str">
        <f ca="1">A40</f>
        <v>Calc (Market Slow Rate)</v>
      </c>
    </row>
    <row r="78" spans="1:8" ht="17.25" thickBot="1" x14ac:dyDescent="0.35">
      <c r="A78" s="17" t="s">
        <v>1</v>
      </c>
      <c r="E78" s="77">
        <f ca="1">IF(LEFT($A77,5)="blank",0,E41+E48)</f>
        <v>5.9533839999999998</v>
      </c>
      <c r="F78" s="77">
        <f ca="1">IF(LEFT($A77,5)="blank",0,F41+F48)</f>
        <v>7.5419499999999999</v>
      </c>
      <c r="G78" s="77">
        <f ca="1">IF(LEFT($A77,5)="blank",0,G41+G48)</f>
        <v>7.782893372918763</v>
      </c>
      <c r="H78" s="77">
        <f ca="1">IF(LEFT($A77,5)="blank",0,H41+H48)</f>
        <v>7.4383755829845306</v>
      </c>
    </row>
    <row r="79" spans="1:8" ht="17.25" thickBot="1" x14ac:dyDescent="0.35">
      <c r="A79" s="17" t="s">
        <v>40</v>
      </c>
      <c r="E79" s="77">
        <f ca="1">IF(LEFT($A77,5)="blank",0,E42)</f>
        <v>1.377</v>
      </c>
      <c r="F79" s="77">
        <f ca="1">IF(LEFT($A77,5)="blank",0,F42)</f>
        <v>1.653</v>
      </c>
      <c r="G79" s="77">
        <f ca="1">IF(LEFT($A77,5)="blank",0,G42)</f>
        <v>1.7681587277667981</v>
      </c>
      <c r="H79" s="77">
        <f ca="1">IF(LEFT($A77,5)="blank",0,H42)</f>
        <v>1.8913401612691485</v>
      </c>
    </row>
    <row r="80" spans="1:8" ht="17.25" thickBot="1" x14ac:dyDescent="0.35">
      <c r="A80" s="17" t="s">
        <v>39</v>
      </c>
      <c r="E80" s="77">
        <f ca="1">IF(LEFT($A77,5)="blank",0,IF('Input Global'!$B$61="No",E43+E47+E51,E43+E47))</f>
        <v>6.1860958803334976</v>
      </c>
      <c r="F80" s="77">
        <f ca="1">IF(LEFT($A77,5)="blank",0,IF('Input Global'!$B$61="No",F43+F47+F51,F43+F47))</f>
        <v>6.5137986758214801</v>
      </c>
      <c r="G80" s="77">
        <f ca="1">IF(LEFT($A77,5)="blank",0,IF('Input Global'!$B$61="No",G43+G47+G51,G43+G47))</f>
        <v>7.0062075999576985</v>
      </c>
      <c r="H80" s="77">
        <f ca="1">IF(LEFT($A77,5)="blank",0,IF('Input Global'!$B$61="No",H43+H47+H51,H43+H47))</f>
        <v>7.5374409914672293</v>
      </c>
    </row>
    <row r="81" spans="1:8" ht="17.25" thickBot="1" x14ac:dyDescent="0.35">
      <c r="A81" s="17" t="s">
        <v>15</v>
      </c>
      <c r="E81" s="77">
        <f ca="1">IF(LEFT($A77,5)="blank",0,IF('Input Global'!$B$61="No",E44+E45+E49+E50+E52,E44+E45+E49+E50+E51+E52))</f>
        <v>3.3785919135380089</v>
      </c>
      <c r="F81" s="77">
        <f ca="1">IF(LEFT($A77,5)="blank",0,IF('Input Global'!$B$61="No",F44+F45+F49+F50+F52,F44+F45+F49+F50+F51+F52))</f>
        <v>3.3527345284943602</v>
      </c>
      <c r="G81" s="77">
        <f ca="1">IF(LEFT($A77,5)="blank",0,IF('Input Global'!$B$61="No",G44+G45+G49+G50+G52,G44+G45+G49+G50+G51+G52))</f>
        <v>3.2447603900315141</v>
      </c>
      <c r="H81" s="77">
        <f ca="1">IF(LEFT($A77,5)="blank",0,IF('Input Global'!$B$61="No",H44+H45+H49+H50+H52,H44+H45+H49+H50+H51+H52))</f>
        <v>3.3655315727739086</v>
      </c>
    </row>
    <row r="82" spans="1:8" ht="17.25" thickBot="1" x14ac:dyDescent="0.35">
      <c r="A82" s="20" t="s">
        <v>55</v>
      </c>
      <c r="B82" s="20"/>
      <c r="C82" s="20"/>
      <c r="D82" s="20"/>
      <c r="E82" s="77">
        <f ca="1">SUM(E78:E81)</f>
        <v>16.895071793871505</v>
      </c>
      <c r="F82" s="77">
        <f t="shared" ref="F82:H82" ca="1" si="3">SUM(F78:F81)</f>
        <v>19.061483204315842</v>
      </c>
      <c r="G82" s="77">
        <f t="shared" ca="1" si="3"/>
        <v>19.802020090674773</v>
      </c>
      <c r="H82" s="77">
        <f t="shared" ca="1" si="3"/>
        <v>20.232688308494815</v>
      </c>
    </row>
    <row r="83" spans="1:8" x14ac:dyDescent="0.3">
      <c r="A83" s="33" t="s">
        <v>93</v>
      </c>
      <c r="E83" s="33" t="b">
        <f ca="1">E53=E82</f>
        <v>1</v>
      </c>
      <c r="F83" s="33" t="b">
        <f ca="1">F53=F82</f>
        <v>1</v>
      </c>
      <c r="G83" s="33" t="b">
        <f ca="1">G53=G82</f>
        <v>1</v>
      </c>
      <c r="H83" s="33" t="b">
        <f ca="1">H53=H82</f>
        <v>1</v>
      </c>
    </row>
    <row r="85" spans="1:8" x14ac:dyDescent="0.3">
      <c r="A85" s="18"/>
    </row>
    <row r="86" spans="1:8" x14ac:dyDescent="0.3">
      <c r="E86" s="94"/>
      <c r="F86" s="94"/>
      <c r="G86" s="94"/>
      <c r="H86" s="94"/>
    </row>
    <row r="87" spans="1:8" x14ac:dyDescent="0.3">
      <c r="E87" s="94"/>
      <c r="F87" s="94"/>
      <c r="G87" s="94"/>
      <c r="H87" s="94"/>
    </row>
    <row r="88" spans="1:8" x14ac:dyDescent="0.3">
      <c r="E88" s="94"/>
      <c r="F88" s="94"/>
      <c r="G88" s="94"/>
      <c r="H88" s="94"/>
    </row>
    <row r="89" spans="1:8" x14ac:dyDescent="0.3">
      <c r="E89" s="94"/>
      <c r="F89" s="94"/>
      <c r="G89" s="94"/>
      <c r="H89" s="94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1" manualBreakCount="1">
    <brk id="24" max="7" man="1"/>
  </rowBreaks>
  <colBreaks count="1" manualBreakCount="1">
    <brk id="8" max="1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42</vt:i4>
      </vt:variant>
    </vt:vector>
  </HeadingPairs>
  <TitlesOfParts>
    <vt:vector size="50" baseType="lpstr">
      <vt:lpstr>Index</vt:lpstr>
      <vt:lpstr>Input Global</vt:lpstr>
      <vt:lpstr>Input Frontier</vt:lpstr>
      <vt:lpstr>Input General</vt:lpstr>
      <vt:lpstr>Calc (Jurisdiction)</vt:lpstr>
      <vt:lpstr>Calc (Market Planning Case)</vt:lpstr>
      <vt:lpstr>Calc (Market Slow Rate)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Dist2LRET</vt:lpstr>
      <vt:lpstr>dist2scheme1</vt:lpstr>
      <vt:lpstr>Dist2X</vt:lpstr>
      <vt:lpstr>Dist3</vt:lpstr>
      <vt:lpstr>Dist3LRET</vt:lpstr>
      <vt:lpstr>dist3scheme1</vt:lpstr>
      <vt:lpstr>Dist3X</vt:lpstr>
      <vt:lpstr>Dist4</vt:lpstr>
      <vt:lpstr>Dist4LRET</vt:lpstr>
      <vt:lpstr>dist4scheme1</vt:lpstr>
      <vt:lpstr>Dist4X</vt:lpstr>
      <vt:lpstr>Dist5</vt:lpstr>
      <vt:lpstr>Dist5LRET</vt:lpstr>
      <vt:lpstr>dist5scheme1</vt:lpstr>
      <vt:lpstr>Dist5X</vt:lpstr>
      <vt:lpstr>inflation</vt:lpstr>
      <vt:lpstr>'Calc (Jurisdiction)'!Print_Area</vt:lpstr>
      <vt:lpstr>'Calc (Market Planning Case)'!Print_Area</vt:lpstr>
      <vt:lpstr>'Calc (Market Slow Rate)'!Print_Area</vt:lpstr>
      <vt:lpstr>Index!Print_Area</vt:lpstr>
      <vt:lpstr>'Input Global'!Print_Area</vt:lpstr>
      <vt:lpstr>Output!Print_Area</vt:lpstr>
      <vt:lpstr>'Calc (Jurisdiction)'!Print_Titles</vt:lpstr>
      <vt:lpstr>'Calc (Market Planning Case)'!Print_Titles</vt:lpstr>
      <vt:lpstr>'Calc (Market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2013-06-20T07:17:04Z</dcterms:modified>
</cp:coreProperties>
</file>